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wbpd.local\public\Wharton PD\Users\whamilton\Desktop\"/>
    </mc:Choice>
  </mc:AlternateContent>
  <xr:revisionPtr revIDLastSave="0" documentId="8_{AABCC65B-3054-41C6-A322-650B971FD5CA}" xr6:coauthVersionLast="47" xr6:coauthVersionMax="47" xr10:uidLastSave="{00000000-0000-0000-0000-000000000000}"/>
  <bookViews>
    <workbookView xWindow="-120" yWindow="-120" windowWidth="24240" windowHeight="1302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76" r:id="rId6"/>
    <sheet name="Q2 Summary" sheetId="77" r:id="rId7"/>
    <sheet name="Q3 Summary" sheetId="78" r:id="rId8"/>
    <sheet name="Q4 Summary" sheetId="79" r:id="rId9"/>
    <sheet name="Annual Report" sheetId="75"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1" i="75" l="1"/>
  <c r="Q266" i="58"/>
  <c r="Q265" i="58"/>
  <c r="Q264" i="58"/>
  <c r="Q263" i="58"/>
  <c r="Q262" i="58"/>
  <c r="Q261" i="58"/>
  <c r="Q260" i="58"/>
  <c r="Q259" i="58"/>
  <c r="Q258" i="58"/>
  <c r="Q257" i="58"/>
  <c r="Q256" i="58"/>
  <c r="Q255" i="58"/>
  <c r="Q254" i="58"/>
  <c r="Q253" i="58"/>
  <c r="Q252" i="58"/>
  <c r="Q251" i="58"/>
  <c r="Q250" i="58"/>
  <c r="Q249" i="58"/>
  <c r="Q248" i="58"/>
  <c r="Q247" i="58"/>
  <c r="Q246" i="58"/>
  <c r="Q245" i="58"/>
  <c r="Q244" i="58"/>
  <c r="Q243" i="58"/>
  <c r="Q242" i="58"/>
  <c r="Q241" i="58"/>
  <c r="Q240" i="58"/>
  <c r="Q239" i="58"/>
  <c r="Q238" i="58"/>
  <c r="Q237" i="58"/>
  <c r="Q236" i="58"/>
  <c r="Q235" i="58"/>
  <c r="Q234" i="58"/>
  <c r="Q233" i="58"/>
  <c r="Q232" i="58"/>
  <c r="Q231" i="58"/>
  <c r="Q230" i="58"/>
  <c r="Q229" i="58"/>
  <c r="Q228" i="58"/>
  <c r="Q227" i="58"/>
  <c r="Q226" i="58"/>
  <c r="Q225" i="58"/>
  <c r="Q224" i="58"/>
  <c r="Q223" i="58"/>
  <c r="Q222" i="58"/>
  <c r="Q221" i="58"/>
  <c r="Q220" i="58"/>
  <c r="Q219" i="58"/>
  <c r="Q218" i="58"/>
  <c r="Q217" i="58"/>
  <c r="Q216" i="58"/>
  <c r="Q215" i="58"/>
  <c r="Q214" i="58"/>
  <c r="Q213" i="58"/>
  <c r="Q212" i="58"/>
  <c r="Q211" i="58"/>
  <c r="Q210" i="58"/>
  <c r="Q209" i="58"/>
  <c r="Q208" i="58"/>
  <c r="Q207" i="58"/>
  <c r="Q206" i="58"/>
  <c r="Q205" i="58"/>
  <c r="Q204" i="58"/>
  <c r="Q203" i="58"/>
  <c r="Q202" i="58"/>
  <c r="Q201" i="58"/>
  <c r="Q200" i="58"/>
  <c r="Q199" i="58"/>
  <c r="Q198" i="58"/>
  <c r="Q197" i="58"/>
  <c r="Q196" i="58"/>
  <c r="Q195" i="58"/>
  <c r="Q194" i="58"/>
  <c r="Q193" i="58"/>
  <c r="Q192" i="58"/>
  <c r="Q191" i="58"/>
  <c r="Q190" i="58"/>
  <c r="Q189" i="58"/>
  <c r="Q188" i="58"/>
  <c r="Q187" i="58"/>
  <c r="Q186" i="58"/>
  <c r="Q185" i="58"/>
  <c r="Q184" i="58"/>
  <c r="Q183" i="58"/>
  <c r="Q182" i="58"/>
  <c r="Q181" i="58"/>
  <c r="Q180" i="58"/>
  <c r="Q179" i="58"/>
  <c r="Q178" i="58"/>
  <c r="Q177" i="58"/>
  <c r="Q176" i="58"/>
  <c r="Q175" i="58"/>
  <c r="Q174" i="58"/>
  <c r="Q173" i="58"/>
  <c r="Q172" i="58"/>
  <c r="Q171"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Q8" i="58"/>
  <c r="Q7" i="58"/>
  <c r="Q6" i="58"/>
  <c r="Q5" i="58"/>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Q6" i="21"/>
  <c r="Q5" i="21"/>
  <c r="P269" i="79" l="1"/>
  <c r="P268" i="79"/>
  <c r="A265" i="79"/>
  <c r="O240" i="79"/>
  <c r="O239" i="79"/>
  <c r="A237" i="79"/>
  <c r="E220" i="79"/>
  <c r="O214" i="79"/>
  <c r="O213" i="79"/>
  <c r="A210" i="79"/>
  <c r="O168" i="79"/>
  <c r="O167" i="79"/>
  <c r="A165" i="79"/>
  <c r="F126" i="79"/>
  <c r="E126" i="79"/>
  <c r="O123" i="79"/>
  <c r="O122" i="79"/>
  <c r="A120" i="79"/>
  <c r="P89" i="79"/>
  <c r="P88" i="79"/>
  <c r="A86" i="79"/>
  <c r="A52" i="79"/>
  <c r="M49" i="79"/>
  <c r="B9" i="79" s="1"/>
  <c r="M48" i="79"/>
  <c r="I42" i="79"/>
  <c r="I34" i="79"/>
  <c r="C34" i="79"/>
  <c r="F28" i="79"/>
  <c r="A12" i="79"/>
  <c r="C10" i="79"/>
  <c r="C9" i="79"/>
  <c r="C8" i="79"/>
  <c r="P269" i="78"/>
  <c r="P268" i="78"/>
  <c r="A265" i="78"/>
  <c r="O240" i="78"/>
  <c r="O239" i="78"/>
  <c r="A237" i="78"/>
  <c r="O214" i="78"/>
  <c r="O213" i="78"/>
  <c r="A210" i="78"/>
  <c r="O168" i="78"/>
  <c r="O167" i="78"/>
  <c r="A165" i="78"/>
  <c r="O123" i="78"/>
  <c r="O122" i="78"/>
  <c r="A120" i="78"/>
  <c r="P89" i="78"/>
  <c r="P88" i="78"/>
  <c r="A86" i="78"/>
  <c r="A52" i="78"/>
  <c r="M49" i="78"/>
  <c r="M48" i="78"/>
  <c r="I42" i="78"/>
  <c r="I34" i="78"/>
  <c r="C34" i="78"/>
  <c r="F28" i="78"/>
  <c r="A12" i="78"/>
  <c r="C10" i="78"/>
  <c r="B10" i="78"/>
  <c r="C9" i="78"/>
  <c r="B9" i="78"/>
  <c r="J98" i="78" s="1"/>
  <c r="C8" i="78"/>
  <c r="P269" i="77"/>
  <c r="P268" i="77"/>
  <c r="A265" i="77"/>
  <c r="O240" i="77"/>
  <c r="O239" i="77"/>
  <c r="A237" i="77"/>
  <c r="O214" i="77"/>
  <c r="O213" i="77"/>
  <c r="A210" i="77"/>
  <c r="O168" i="77"/>
  <c r="O167" i="77"/>
  <c r="A165" i="77"/>
  <c r="O123" i="77"/>
  <c r="O122" i="77"/>
  <c r="A120" i="77"/>
  <c r="P89" i="77"/>
  <c r="P88" i="77"/>
  <c r="A86" i="77"/>
  <c r="A52" i="77"/>
  <c r="M49" i="77"/>
  <c r="M48" i="77"/>
  <c r="I42" i="77"/>
  <c r="I34" i="77"/>
  <c r="C34" i="77"/>
  <c r="F28" i="77"/>
  <c r="A12" i="77"/>
  <c r="C10" i="77"/>
  <c r="C9" i="77"/>
  <c r="C8" i="77"/>
  <c r="P269" i="76"/>
  <c r="P268" i="76"/>
  <c r="A265" i="76"/>
  <c r="O240" i="76"/>
  <c r="O239" i="76"/>
  <c r="A237" i="76"/>
  <c r="O214" i="76"/>
  <c r="O213" i="76"/>
  <c r="A210" i="76"/>
  <c r="O168" i="76"/>
  <c r="O167" i="76"/>
  <c r="A165" i="76"/>
  <c r="O123" i="76"/>
  <c r="O122" i="76"/>
  <c r="A120" i="76"/>
  <c r="P89" i="76"/>
  <c r="P88" i="76"/>
  <c r="A86" i="76"/>
  <c r="A52" i="76"/>
  <c r="M49" i="76"/>
  <c r="M48" i="76"/>
  <c r="I42" i="76"/>
  <c r="I34" i="76"/>
  <c r="C34" i="76"/>
  <c r="F28" i="76"/>
  <c r="A12" i="76"/>
  <c r="C10" i="76"/>
  <c r="C9" i="76"/>
  <c r="C8" i="76"/>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10" i="21"/>
  <c r="W9" i="21"/>
  <c r="W8" i="21"/>
  <c r="W7" i="21"/>
  <c r="W6" i="21"/>
  <c r="W5" i="21"/>
  <c r="W84" i="58"/>
  <c r="W83" i="58"/>
  <c r="W82" i="58"/>
  <c r="W81" i="58"/>
  <c r="W80" i="58"/>
  <c r="W79" i="58"/>
  <c r="W78" i="58"/>
  <c r="W77" i="58"/>
  <c r="W76" i="58"/>
  <c r="W75" i="58"/>
  <c r="W74" i="58"/>
  <c r="W73" i="58"/>
  <c r="W72" i="58"/>
  <c r="W71" i="58"/>
  <c r="W70" i="58"/>
  <c r="W69" i="58"/>
  <c r="W68" i="58"/>
  <c r="W67" i="58"/>
  <c r="W66" i="58"/>
  <c r="W65" i="58"/>
  <c r="W64" i="58"/>
  <c r="W63" i="58"/>
  <c r="W62" i="58"/>
  <c r="W61" i="58"/>
  <c r="W60" i="58"/>
  <c r="W59" i="58"/>
  <c r="W58" i="58"/>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14" i="58"/>
  <c r="W13" i="58"/>
  <c r="W12" i="58"/>
  <c r="W11" i="58"/>
  <c r="W10" i="58"/>
  <c r="W9" i="58"/>
  <c r="W8" i="58"/>
  <c r="W7" i="58"/>
  <c r="W6" i="58"/>
  <c r="W5" i="58"/>
  <c r="P269" i="75"/>
  <c r="P268" i="75"/>
  <c r="A265" i="75"/>
  <c r="O240" i="75"/>
  <c r="O239" i="75"/>
  <c r="A237" i="75"/>
  <c r="O214" i="75"/>
  <c r="O213" i="75"/>
  <c r="A210" i="75"/>
  <c r="O168" i="75"/>
  <c r="O167" i="75"/>
  <c r="A165" i="75"/>
  <c r="O123" i="75"/>
  <c r="O122" i="75"/>
  <c r="A120" i="75"/>
  <c r="P89" i="75"/>
  <c r="P88" i="75"/>
  <c r="A86" i="75"/>
  <c r="A52" i="75"/>
  <c r="M49" i="75"/>
  <c r="M48" i="75"/>
  <c r="I42" i="75"/>
  <c r="I34" i="75"/>
  <c r="C34" i="75"/>
  <c r="F28" i="75"/>
  <c r="A12" i="75"/>
  <c r="C10" i="75"/>
  <c r="C9" i="75"/>
  <c r="C8" i="75"/>
  <c r="D247" i="79" l="1"/>
  <c r="G247" i="79" s="1"/>
  <c r="B10" i="79"/>
  <c r="G42" i="79" s="1"/>
  <c r="O81" i="79"/>
  <c r="L184" i="79"/>
  <c r="I100" i="79"/>
  <c r="B109" i="79"/>
  <c r="E109" i="79" s="1"/>
  <c r="N230" i="79"/>
  <c r="F220" i="79"/>
  <c r="I220" i="79" s="1"/>
  <c r="O73" i="79"/>
  <c r="I128" i="79"/>
  <c r="L128" i="79" s="1"/>
  <c r="Q149" i="79"/>
  <c r="K249" i="79"/>
  <c r="P228" i="79"/>
  <c r="E131" i="79"/>
  <c r="M151" i="79"/>
  <c r="D76" i="79"/>
  <c r="F93" i="79"/>
  <c r="D112" i="79"/>
  <c r="G112" i="79" s="1"/>
  <c r="F133" i="79"/>
  <c r="G153" i="79"/>
  <c r="G296" i="79"/>
  <c r="K294" i="79"/>
  <c r="I291" i="79"/>
  <c r="G288" i="79"/>
  <c r="K286" i="79"/>
  <c r="E285" i="79"/>
  <c r="I283" i="79"/>
  <c r="D260" i="79"/>
  <c r="F260" i="79" s="1"/>
  <c r="D256" i="79"/>
  <c r="J245" i="79"/>
  <c r="L243" i="79"/>
  <c r="J234" i="79"/>
  <c r="H233" i="79"/>
  <c r="F232" i="79"/>
  <c r="F296" i="79"/>
  <c r="J294" i="79"/>
  <c r="H291" i="79"/>
  <c r="L289" i="79"/>
  <c r="F288" i="79"/>
  <c r="J286" i="79"/>
  <c r="D285" i="79"/>
  <c r="H273" i="79"/>
  <c r="L271" i="79"/>
  <c r="F270" i="79"/>
  <c r="E249" i="79"/>
  <c r="H249" i="79" s="1"/>
  <c r="K243" i="79"/>
  <c r="I234" i="79"/>
  <c r="G233" i="79"/>
  <c r="E232" i="79"/>
  <c r="C231" i="79"/>
  <c r="D231" i="79" s="1"/>
  <c r="O229" i="79"/>
  <c r="M228" i="79"/>
  <c r="H221" i="79"/>
  <c r="K221" i="79" s="1"/>
  <c r="C218" i="79"/>
  <c r="E216" i="79"/>
  <c r="E207" i="79"/>
  <c r="E203" i="79"/>
  <c r="E199" i="79"/>
  <c r="E195" i="79"/>
  <c r="J183" i="79"/>
  <c r="L181" i="79"/>
  <c r="E180" i="79"/>
  <c r="H180" i="79" s="1"/>
  <c r="K174" i="79"/>
  <c r="D173" i="79"/>
  <c r="G173" i="79" s="1"/>
  <c r="F171" i="79"/>
  <c r="Q160" i="79"/>
  <c r="O159" i="79"/>
  <c r="M158" i="79"/>
  <c r="K157" i="79"/>
  <c r="I156" i="79"/>
  <c r="G155" i="79"/>
  <c r="Q152" i="79"/>
  <c r="O151" i="79"/>
  <c r="M150" i="79"/>
  <c r="K149" i="79"/>
  <c r="I148" i="79"/>
  <c r="G147" i="79"/>
  <c r="I141" i="79"/>
  <c r="L141" i="79" s="1"/>
  <c r="D138" i="79"/>
  <c r="F136" i="79"/>
  <c r="H134" i="79"/>
  <c r="K134" i="79" s="1"/>
  <c r="E129" i="79"/>
  <c r="G127" i="79"/>
  <c r="J127" i="79" s="1"/>
  <c r="B116" i="79"/>
  <c r="E116" i="79" s="1"/>
  <c r="H114" i="79"/>
  <c r="C113" i="79"/>
  <c r="F113" i="79" s="1"/>
  <c r="I111" i="79"/>
  <c r="E306" i="79"/>
  <c r="I304" i="79"/>
  <c r="G301" i="79"/>
  <c r="E296" i="79"/>
  <c r="I294" i="79"/>
  <c r="G291" i="79"/>
  <c r="K289" i="79"/>
  <c r="E288" i="79"/>
  <c r="I286" i="79"/>
  <c r="G283" i="79"/>
  <c r="K281" i="79"/>
  <c r="I276" i="79"/>
  <c r="G273" i="79"/>
  <c r="K271" i="79"/>
  <c r="E270" i="79"/>
  <c r="D249" i="79"/>
  <c r="G249" i="79" s="1"/>
  <c r="F247" i="79"/>
  <c r="I247" i="79" s="1"/>
  <c r="J243" i="79"/>
  <c r="H234" i="79"/>
  <c r="F233" i="79"/>
  <c r="P230" i="79"/>
  <c r="N229" i="79"/>
  <c r="L228" i="79"/>
  <c r="G221" i="79"/>
  <c r="J221" i="79" s="1"/>
  <c r="D216" i="79"/>
  <c r="D207" i="79"/>
  <c r="D203" i="79"/>
  <c r="D199" i="79"/>
  <c r="D195" i="79"/>
  <c r="K181" i="79"/>
  <c r="D180" i="79"/>
  <c r="G180" i="79" s="1"/>
  <c r="F178" i="79"/>
  <c r="I178" i="79" s="1"/>
  <c r="J174" i="79"/>
  <c r="L172" i="79"/>
  <c r="E171" i="79"/>
  <c r="D162" i="79"/>
  <c r="E162" i="79" s="1"/>
  <c r="P160" i="79"/>
  <c r="N159" i="79"/>
  <c r="L158" i="79"/>
  <c r="J157" i="79"/>
  <c r="H156" i="79"/>
  <c r="F155" i="79"/>
  <c r="D154" i="79"/>
  <c r="E154" i="79" s="1"/>
  <c r="P152" i="79"/>
  <c r="N151" i="79"/>
  <c r="L150" i="79"/>
  <c r="J149" i="79"/>
  <c r="H148" i="79"/>
  <c r="F147" i="79"/>
  <c r="H141" i="79"/>
  <c r="K141" i="79" s="1"/>
  <c r="E136" i="79"/>
  <c r="G134" i="79"/>
  <c r="J134" i="79" s="1"/>
  <c r="I132" i="79"/>
  <c r="L132" i="79" s="1"/>
  <c r="D129" i="79"/>
  <c r="F127" i="79"/>
  <c r="B113" i="79"/>
  <c r="E113" i="79" s="1"/>
  <c r="H111" i="79"/>
  <c r="L305" i="79"/>
  <c r="F304" i="79"/>
  <c r="J302" i="79"/>
  <c r="D301" i="79"/>
  <c r="L295" i="79"/>
  <c r="F294" i="79"/>
  <c r="J292" i="79"/>
  <c r="D291" i="79"/>
  <c r="H289" i="79"/>
  <c r="L287" i="79"/>
  <c r="F286" i="79"/>
  <c r="J284" i="79"/>
  <c r="D283" i="79"/>
  <c r="H281" i="79"/>
  <c r="L277" i="79"/>
  <c r="F276" i="79"/>
  <c r="J274" i="79"/>
  <c r="D273" i="79"/>
  <c r="H271" i="79"/>
  <c r="J248" i="79"/>
  <c r="L246" i="79"/>
  <c r="E245" i="79"/>
  <c r="H245" i="79" s="1"/>
  <c r="E234" i="79"/>
  <c r="C233" i="79"/>
  <c r="D233" i="79" s="1"/>
  <c r="O231" i="79"/>
  <c r="M230" i="79"/>
  <c r="K229" i="79"/>
  <c r="I228" i="79"/>
  <c r="D221" i="79"/>
  <c r="F219" i="79"/>
  <c r="I219" i="79" s="1"/>
  <c r="H217" i="79"/>
  <c r="K217" i="79" s="1"/>
  <c r="E206" i="79"/>
  <c r="E202" i="79"/>
  <c r="E198" i="79"/>
  <c r="E194" i="79"/>
  <c r="K186" i="79"/>
  <c r="D185" i="79"/>
  <c r="G185" i="79" s="1"/>
  <c r="F183" i="79"/>
  <c r="I183" i="79" s="1"/>
  <c r="J179" i="79"/>
  <c r="L177" i="79"/>
  <c r="E176" i="79"/>
  <c r="H176" i="79" s="1"/>
  <c r="Q162" i="79"/>
  <c r="O161" i="79"/>
  <c r="M160" i="79"/>
  <c r="K159" i="79"/>
  <c r="I158" i="79"/>
  <c r="G157" i="79"/>
  <c r="Q154" i="79"/>
  <c r="O153" i="79"/>
  <c r="M152" i="79"/>
  <c r="K151" i="79"/>
  <c r="I150" i="79"/>
  <c r="G149" i="79"/>
  <c r="E141" i="79"/>
  <c r="G139" i="79"/>
  <c r="J139" i="79" s="1"/>
  <c r="I137" i="79"/>
  <c r="L137" i="79" s="1"/>
  <c r="D134" i="79"/>
  <c r="F132" i="79"/>
  <c r="H130" i="79"/>
  <c r="K130" i="79" s="1"/>
  <c r="C117" i="79"/>
  <c r="F117" i="79" s="1"/>
  <c r="I115" i="79"/>
  <c r="D114" i="79"/>
  <c r="G114" i="79" s="1"/>
  <c r="J112" i="79"/>
  <c r="K305" i="79"/>
  <c r="E304" i="79"/>
  <c r="I302" i="79"/>
  <c r="K295" i="79"/>
  <c r="E294" i="79"/>
  <c r="I292" i="79"/>
  <c r="G289" i="79"/>
  <c r="K287" i="79"/>
  <c r="E286" i="79"/>
  <c r="I284" i="79"/>
  <c r="G281" i="79"/>
  <c r="K277" i="79"/>
  <c r="E276" i="79"/>
  <c r="I274" i="79"/>
  <c r="G271" i="79"/>
  <c r="L269" i="79"/>
  <c r="J305" i="79"/>
  <c r="D304" i="79"/>
  <c r="H302" i="79"/>
  <c r="L300" i="79"/>
  <c r="J295" i="79"/>
  <c r="D294" i="79"/>
  <c r="H292" i="79"/>
  <c r="L290" i="79"/>
  <c r="F289" i="79"/>
  <c r="J287" i="79"/>
  <c r="D286" i="79"/>
  <c r="H284" i="79"/>
  <c r="L282" i="79"/>
  <c r="F281" i="79"/>
  <c r="J277" i="79"/>
  <c r="D276" i="79"/>
  <c r="H274" i="79"/>
  <c r="L272" i="79"/>
  <c r="F271" i="79"/>
  <c r="K269" i="79"/>
  <c r="E262" i="79"/>
  <c r="G262" i="79" s="1"/>
  <c r="E258" i="79"/>
  <c r="G258" i="79" s="1"/>
  <c r="J246" i="79"/>
  <c r="L244" i="79"/>
  <c r="E243" i="79"/>
  <c r="C234" i="79"/>
  <c r="D234" i="79" s="1"/>
  <c r="O232" i="79"/>
  <c r="M231" i="79"/>
  <c r="K230" i="79"/>
  <c r="I229" i="79"/>
  <c r="I305" i="79"/>
  <c r="G302" i="79"/>
  <c r="K300" i="79"/>
  <c r="I295" i="79"/>
  <c r="G292" i="79"/>
  <c r="K290" i="79"/>
  <c r="E289" i="79"/>
  <c r="I287" i="79"/>
  <c r="G284" i="79"/>
  <c r="K282" i="79"/>
  <c r="E281" i="79"/>
  <c r="I277" i="79"/>
  <c r="G274" i="79"/>
  <c r="K272" i="79"/>
  <c r="E271" i="79"/>
  <c r="J269" i="79"/>
  <c r="D262" i="79"/>
  <c r="F262" i="79" s="1"/>
  <c r="H305" i="79"/>
  <c r="L303" i="79"/>
  <c r="F302" i="79"/>
  <c r="J300" i="79"/>
  <c r="H295" i="79"/>
  <c r="L293" i="79"/>
  <c r="F292" i="79"/>
  <c r="J290" i="79"/>
  <c r="D289" i="79"/>
  <c r="H287" i="79"/>
  <c r="L285" i="79"/>
  <c r="F284" i="79"/>
  <c r="J282" i="79"/>
  <c r="D281" i="79"/>
  <c r="H277" i="79"/>
  <c r="L275" i="79"/>
  <c r="F274" i="79"/>
  <c r="J272" i="79"/>
  <c r="D271" i="79"/>
  <c r="I269" i="79"/>
  <c r="F248" i="79"/>
  <c r="I248" i="79" s="1"/>
  <c r="J244" i="79"/>
  <c r="O233" i="79"/>
  <c r="M232" i="79"/>
  <c r="K231" i="79"/>
  <c r="I230" i="79"/>
  <c r="G229" i="79"/>
  <c r="E228" i="79"/>
  <c r="G222" i="79"/>
  <c r="J222" i="79" s="1"/>
  <c r="D217" i="79"/>
  <c r="E205" i="79"/>
  <c r="E201" i="79"/>
  <c r="E197" i="79"/>
  <c r="E193" i="79"/>
  <c r="K182" i="79"/>
  <c r="D181" i="79"/>
  <c r="G181" i="79" s="1"/>
  <c r="F179" i="79"/>
  <c r="I179" i="79" s="1"/>
  <c r="J175" i="79"/>
  <c r="L173" i="79"/>
  <c r="E172" i="79"/>
  <c r="H172" i="79" s="1"/>
  <c r="M162" i="79"/>
  <c r="K161" i="79"/>
  <c r="I160" i="79"/>
  <c r="G159" i="79"/>
  <c r="Q156" i="79"/>
  <c r="O155" i="79"/>
  <c r="M154" i="79"/>
  <c r="K153" i="79"/>
  <c r="I152" i="79"/>
  <c r="G151" i="79"/>
  <c r="G305" i="79"/>
  <c r="K303" i="79"/>
  <c r="E302" i="79"/>
  <c r="I300" i="79"/>
  <c r="G295" i="79"/>
  <c r="K293" i="79"/>
  <c r="E292" i="79"/>
  <c r="I290" i="79"/>
  <c r="G287" i="79"/>
  <c r="K285" i="79"/>
  <c r="E284" i="79"/>
  <c r="I282" i="79"/>
  <c r="G277" i="79"/>
  <c r="K275" i="79"/>
  <c r="E274" i="79"/>
  <c r="I272" i="79"/>
  <c r="H269" i="79"/>
  <c r="L249" i="79"/>
  <c r="E248" i="79"/>
  <c r="H248" i="79" s="1"/>
  <c r="P234" i="79"/>
  <c r="N233" i="79"/>
  <c r="L232" i="79"/>
  <c r="J231" i="79"/>
  <c r="H230" i="79"/>
  <c r="F229" i="79"/>
  <c r="F222" i="79"/>
  <c r="I222" i="79" s="1"/>
  <c r="H220" i="79"/>
  <c r="K220" i="79" s="1"/>
  <c r="C217" i="79"/>
  <c r="D205" i="79"/>
  <c r="D201" i="79"/>
  <c r="D197" i="79"/>
  <c r="D193" i="79"/>
  <c r="F186" i="79"/>
  <c r="I186" i="79" s="1"/>
  <c r="J182" i="79"/>
  <c r="L180" i="79"/>
  <c r="E179" i="79"/>
  <c r="H179" i="79" s="1"/>
  <c r="K173" i="79"/>
  <c r="D172" i="79"/>
  <c r="G172" i="79" s="1"/>
  <c r="L162" i="79"/>
  <c r="J161" i="79"/>
  <c r="H160" i="79"/>
  <c r="F159" i="79"/>
  <c r="D158" i="79"/>
  <c r="E158" i="79" s="1"/>
  <c r="P156" i="79"/>
  <c r="N155" i="79"/>
  <c r="L154" i="79"/>
  <c r="J153" i="79"/>
  <c r="H152" i="79"/>
  <c r="F151" i="79"/>
  <c r="D150" i="79"/>
  <c r="E150" i="79" s="1"/>
  <c r="P148" i="79"/>
  <c r="N147" i="79"/>
  <c r="I140" i="79"/>
  <c r="L140" i="79" s="1"/>
  <c r="D137" i="79"/>
  <c r="F135" i="79"/>
  <c r="H133" i="79"/>
  <c r="K133" i="79" s="1"/>
  <c r="E128" i="79"/>
  <c r="G126" i="79"/>
  <c r="J306" i="79"/>
  <c r="D305" i="79"/>
  <c r="H303" i="79"/>
  <c r="L301" i="79"/>
  <c r="F300" i="79"/>
  <c r="J296" i="79"/>
  <c r="D295" i="79"/>
  <c r="H293" i="79"/>
  <c r="L291" i="79"/>
  <c r="F290" i="79"/>
  <c r="J288" i="79"/>
  <c r="D287" i="79"/>
  <c r="H285" i="79"/>
  <c r="L283" i="79"/>
  <c r="G303" i="79"/>
  <c r="L296" i="79"/>
  <c r="L292" i="79"/>
  <c r="I288" i="79"/>
  <c r="D284" i="79"/>
  <c r="L274" i="79"/>
  <c r="L270" i="79"/>
  <c r="D261" i="79"/>
  <c r="F261" i="79" s="1"/>
  <c r="J249" i="79"/>
  <c r="M234" i="79"/>
  <c r="K232" i="79"/>
  <c r="L230" i="79"/>
  <c r="O228" i="79"/>
  <c r="D220" i="79"/>
  <c r="G217" i="79"/>
  <c r="J217" i="79" s="1"/>
  <c r="J184" i="79"/>
  <c r="E182" i="79"/>
  <c r="H182" i="79" s="1"/>
  <c r="L176" i="79"/>
  <c r="F174" i="79"/>
  <c r="I174" i="79" s="1"/>
  <c r="J171" i="79"/>
  <c r="I161" i="79"/>
  <c r="P159" i="79"/>
  <c r="F158" i="79"/>
  <c r="K156" i="79"/>
  <c r="O154" i="79"/>
  <c r="F153" i="79"/>
  <c r="J151" i="79"/>
  <c r="O149" i="79"/>
  <c r="G148" i="79"/>
  <c r="F140" i="79"/>
  <c r="H135" i="79"/>
  <c r="K135" i="79" s="1"/>
  <c r="E133" i="79"/>
  <c r="G128" i="79"/>
  <c r="J128" i="79" s="1"/>
  <c r="D126" i="79"/>
  <c r="J113" i="79"/>
  <c r="B112" i="79"/>
  <c r="E112" i="79" s="1"/>
  <c r="G100" i="79"/>
  <c r="M98" i="79"/>
  <c r="L115" i="79" s="1"/>
  <c r="H97" i="79"/>
  <c r="B96" i="79"/>
  <c r="I94" i="79"/>
  <c r="D93" i="79"/>
  <c r="M81" i="79"/>
  <c r="K80" i="79"/>
  <c r="I79" i="79"/>
  <c r="G78" i="79"/>
  <c r="E77" i="79"/>
  <c r="O74" i="79"/>
  <c r="M73" i="79"/>
  <c r="C62" i="79"/>
  <c r="E60" i="79"/>
  <c r="H60" i="79" s="1"/>
  <c r="G58" i="79"/>
  <c r="G41" i="79"/>
  <c r="F23" i="79"/>
  <c r="F19" i="79"/>
  <c r="F303" i="79"/>
  <c r="K296" i="79"/>
  <c r="K292" i="79"/>
  <c r="H288" i="79"/>
  <c r="K274" i="79"/>
  <c r="K270" i="79"/>
  <c r="F246" i="79"/>
  <c r="I246" i="79" s="1"/>
  <c r="F243" i="79"/>
  <c r="L234" i="79"/>
  <c r="J232" i="79"/>
  <c r="J230" i="79"/>
  <c r="N228" i="79"/>
  <c r="H222" i="79"/>
  <c r="K222" i="79" s="1"/>
  <c r="C220" i="79"/>
  <c r="F217" i="79"/>
  <c r="I217" i="79" s="1"/>
  <c r="E208" i="79"/>
  <c r="D182" i="79"/>
  <c r="G182" i="79" s="1"/>
  <c r="K176" i="79"/>
  <c r="E174" i="79"/>
  <c r="H174" i="79" s="1"/>
  <c r="H161" i="79"/>
  <c r="M159" i="79"/>
  <c r="Q157" i="79"/>
  <c r="J156" i="79"/>
  <c r="N154" i="79"/>
  <c r="I151" i="79"/>
  <c r="N149" i="79"/>
  <c r="F148" i="79"/>
  <c r="E140" i="79"/>
  <c r="G135" i="79"/>
  <c r="J135" i="79" s="1"/>
  <c r="D133" i="79"/>
  <c r="I130" i="79"/>
  <c r="L130" i="79" s="1"/>
  <c r="F128" i="79"/>
  <c r="D117" i="79"/>
  <c r="G117" i="79" s="1"/>
  <c r="I113" i="79"/>
  <c r="D110" i="79"/>
  <c r="G110" i="79" s="1"/>
  <c r="F100" i="79"/>
  <c r="L98" i="79"/>
  <c r="G97" i="79"/>
  <c r="M95" i="79"/>
  <c r="L112" i="79" s="1"/>
  <c r="H94" i="79"/>
  <c r="B93" i="79"/>
  <c r="L81" i="79"/>
  <c r="J80" i="79"/>
  <c r="H79" i="79"/>
  <c r="F78" i="79"/>
  <c r="D77" i="79"/>
  <c r="B76" i="79"/>
  <c r="C76" i="79" s="1"/>
  <c r="N74" i="79"/>
  <c r="L73" i="79"/>
  <c r="G65" i="79"/>
  <c r="J65" i="79" s="1"/>
  <c r="B62" i="79"/>
  <c r="D60" i="79"/>
  <c r="F58" i="79"/>
  <c r="K40" i="79"/>
  <c r="J31" i="79"/>
  <c r="L22" i="79"/>
  <c r="L18" i="79"/>
  <c r="L306" i="79"/>
  <c r="L302" i="79"/>
  <c r="I296" i="79"/>
  <c r="D292" i="79"/>
  <c r="D288" i="79"/>
  <c r="K283" i="79"/>
  <c r="D274" i="79"/>
  <c r="J270" i="79"/>
  <c r="E246" i="79"/>
  <c r="H246" i="79" s="1"/>
  <c r="D243" i="79"/>
  <c r="K234" i="79"/>
  <c r="I232" i="79"/>
  <c r="G230" i="79"/>
  <c r="K228" i="79"/>
  <c r="E222" i="79"/>
  <c r="E217" i="79"/>
  <c r="D208" i="79"/>
  <c r="D202" i="79"/>
  <c r="E196" i="79"/>
  <c r="L186" i="79"/>
  <c r="F184" i="79"/>
  <c r="I184" i="79" s="1"/>
  <c r="J181" i="79"/>
  <c r="D179" i="79"/>
  <c r="G179" i="79" s="1"/>
  <c r="J176" i="79"/>
  <c r="D174" i="79"/>
  <c r="G174" i="79" s="1"/>
  <c r="P162" i="79"/>
  <c r="G161" i="79"/>
  <c r="L159" i="79"/>
  <c r="P157" i="79"/>
  <c r="G156" i="79"/>
  <c r="K154" i="79"/>
  <c r="D153" i="79"/>
  <c r="E153" i="79" s="1"/>
  <c r="H151" i="79"/>
  <c r="M149" i="79"/>
  <c r="D148" i="79"/>
  <c r="E148" i="79" s="1"/>
  <c r="D140" i="79"/>
  <c r="H137" i="79"/>
  <c r="K137" i="79" s="1"/>
  <c r="E135" i="79"/>
  <c r="G130" i="79"/>
  <c r="J130" i="79" s="1"/>
  <c r="D128" i="79"/>
  <c r="B117" i="79"/>
  <c r="E117" i="79" s="1"/>
  <c r="H113" i="79"/>
  <c r="C110" i="79"/>
  <c r="F110" i="79" s="1"/>
  <c r="E100" i="79"/>
  <c r="K98" i="79"/>
  <c r="F97" i="79"/>
  <c r="L95" i="79"/>
  <c r="G94" i="79"/>
  <c r="M92" i="79"/>
  <c r="K81" i="79"/>
  <c r="I80" i="79"/>
  <c r="G79" i="79"/>
  <c r="E78" i="79"/>
  <c r="O75" i="79"/>
  <c r="M74" i="79"/>
  <c r="K73" i="79"/>
  <c r="F65" i="79"/>
  <c r="I65" i="79" s="1"/>
  <c r="C60" i="79"/>
  <c r="E58" i="79"/>
  <c r="G40" i="79"/>
  <c r="H31" i="79"/>
  <c r="J22" i="79"/>
  <c r="J18" i="79"/>
  <c r="K306" i="79"/>
  <c r="K302" i="79"/>
  <c r="H296" i="79"/>
  <c r="J283" i="79"/>
  <c r="I270" i="79"/>
  <c r="E260" i="79"/>
  <c r="G260" i="79" s="1"/>
  <c r="D246" i="79"/>
  <c r="G246" i="79" s="1"/>
  <c r="G234" i="79"/>
  <c r="H232" i="79"/>
  <c r="F230" i="79"/>
  <c r="J228" i="79"/>
  <c r="D222" i="79"/>
  <c r="H219" i="79"/>
  <c r="K219" i="79" s="1"/>
  <c r="D196" i="79"/>
  <c r="J186" i="79"/>
  <c r="E184" i="79"/>
  <c r="H184" i="79" s="1"/>
  <c r="L178" i="79"/>
  <c r="J173" i="79"/>
  <c r="O162" i="79"/>
  <c r="F161" i="79"/>
  <c r="J159" i="79"/>
  <c r="O157" i="79"/>
  <c r="F156" i="79"/>
  <c r="J154" i="79"/>
  <c r="O152" i="79"/>
  <c r="L149" i="79"/>
  <c r="Q147" i="79"/>
  <c r="G137" i="79"/>
  <c r="J137" i="79" s="1"/>
  <c r="D135" i="79"/>
  <c r="F130" i="79"/>
  <c r="D115" i="79"/>
  <c r="G115" i="79" s="1"/>
  <c r="J111" i="79"/>
  <c r="B110" i="79"/>
  <c r="E110" i="79" s="1"/>
  <c r="D100" i="79"/>
  <c r="J98" i="79"/>
  <c r="E97" i="79"/>
  <c r="K95" i="79"/>
  <c r="F94" i="79"/>
  <c r="L92" i="79"/>
  <c r="J81" i="79"/>
  <c r="H80" i="79"/>
  <c r="F79" i="79"/>
  <c r="D78" i="79"/>
  <c r="B77" i="79"/>
  <c r="C77" i="79" s="1"/>
  <c r="N75" i="79"/>
  <c r="L74" i="79"/>
  <c r="J73" i="79"/>
  <c r="E65" i="79"/>
  <c r="H65" i="79" s="1"/>
  <c r="G63" i="79"/>
  <c r="J63" i="79" s="1"/>
  <c r="B60" i="79"/>
  <c r="D58" i="79"/>
  <c r="K39" i="79"/>
  <c r="F31" i="79"/>
  <c r="H22" i="79"/>
  <c r="H18" i="79"/>
  <c r="I306" i="79"/>
  <c r="D302" i="79"/>
  <c r="D296" i="79"/>
  <c r="K291" i="79"/>
  <c r="F287" i="79"/>
  <c r="F283" i="79"/>
  <c r="F277" i="79"/>
  <c r="L273" i="79"/>
  <c r="H270" i="79"/>
  <c r="E259" i="79"/>
  <c r="G259" i="79" s="1"/>
  <c r="L248" i="79"/>
  <c r="L245" i="79"/>
  <c r="F234" i="79"/>
  <c r="G232" i="79"/>
  <c r="E230" i="79"/>
  <c r="H228" i="79"/>
  <c r="C222" i="79"/>
  <c r="G219" i="79"/>
  <c r="J219" i="79" s="1"/>
  <c r="D184" i="79"/>
  <c r="G184" i="79" s="1"/>
  <c r="K178" i="79"/>
  <c r="F176" i="79"/>
  <c r="I176" i="79" s="1"/>
  <c r="D171" i="79"/>
  <c r="N162" i="79"/>
  <c r="I159" i="79"/>
  <c r="N157" i="79"/>
  <c r="D156" i="79"/>
  <c r="E156" i="79" s="1"/>
  <c r="I154" i="79"/>
  <c r="N152" i="79"/>
  <c r="D151" i="79"/>
  <c r="E151" i="79" s="1"/>
  <c r="I149" i="79"/>
  <c r="P147" i="79"/>
  <c r="I139" i="79"/>
  <c r="L139" i="79" s="1"/>
  <c r="F137" i="79"/>
  <c r="H132" i="79"/>
  <c r="K132" i="79" s="1"/>
  <c r="E130" i="79"/>
  <c r="C115" i="79"/>
  <c r="F115" i="79" s="1"/>
  <c r="B100" i="79"/>
  <c r="I98" i="79"/>
  <c r="D97" i="79"/>
  <c r="J95" i="79"/>
  <c r="E94" i="79"/>
  <c r="K92" i="79"/>
  <c r="I81" i="79"/>
  <c r="G80" i="79"/>
  <c r="E79" i="79"/>
  <c r="O76" i="79"/>
  <c r="M75" i="79"/>
  <c r="K74" i="79"/>
  <c r="I73" i="79"/>
  <c r="D65" i="79"/>
  <c r="F63" i="79"/>
  <c r="I63" i="79" s="1"/>
  <c r="C58" i="79"/>
  <c r="G39" i="79"/>
  <c r="F22" i="79"/>
  <c r="F18" i="79"/>
  <c r="H306" i="79"/>
  <c r="J291" i="79"/>
  <c r="E287" i="79"/>
  <c r="E283" i="79"/>
  <c r="E277" i="79"/>
  <c r="K273" i="79"/>
  <c r="D270" i="79"/>
  <c r="D259" i="79"/>
  <c r="F259" i="79" s="1"/>
  <c r="K248" i="79"/>
  <c r="K245" i="79"/>
  <c r="C232" i="79"/>
  <c r="D232" i="79" s="1"/>
  <c r="G228" i="79"/>
  <c r="E219" i="79"/>
  <c r="L183" i="79"/>
  <c r="F181" i="79"/>
  <c r="I181" i="79" s="1"/>
  <c r="J178" i="79"/>
  <c r="D176" i="79"/>
  <c r="G176" i="79" s="1"/>
  <c r="K162" i="79"/>
  <c r="D161" i="79"/>
  <c r="E161" i="79" s="1"/>
  <c r="H159" i="79"/>
  <c r="M157" i="79"/>
  <c r="Q155" i="79"/>
  <c r="H154" i="79"/>
  <c r="L152" i="79"/>
  <c r="Q150" i="79"/>
  <c r="H149" i="79"/>
  <c r="O147" i="79"/>
  <c r="H139" i="79"/>
  <c r="K139" i="79" s="1"/>
  <c r="E137" i="79"/>
  <c r="G132" i="79"/>
  <c r="J132" i="79" s="1"/>
  <c r="D130" i="79"/>
  <c r="J116" i="79"/>
  <c r="B115" i="79"/>
  <c r="E115" i="79" s="1"/>
  <c r="M99" i="79"/>
  <c r="L116" i="79" s="1"/>
  <c r="H98" i="79"/>
  <c r="B97" i="79"/>
  <c r="I95" i="79"/>
  <c r="D94" i="79"/>
  <c r="J92" i="79"/>
  <c r="H81" i="79"/>
  <c r="F80" i="79"/>
  <c r="D79" i="79"/>
  <c r="B78" i="79"/>
  <c r="C78" i="79" s="1"/>
  <c r="N76" i="79"/>
  <c r="L75" i="79"/>
  <c r="J74" i="79"/>
  <c r="H73" i="79"/>
  <c r="C65" i="79"/>
  <c r="E63" i="79"/>
  <c r="H63" i="79" s="1"/>
  <c r="G61" i="79"/>
  <c r="J61" i="79" s="1"/>
  <c r="B58" i="79"/>
  <c r="L21" i="79"/>
  <c r="L17" i="79"/>
  <c r="D306" i="79"/>
  <c r="K301" i="79"/>
  <c r="F295" i="79"/>
  <c r="F291" i="79"/>
  <c r="H282" i="79"/>
  <c r="D277" i="79"/>
  <c r="J273" i="79"/>
  <c r="D258" i="79"/>
  <c r="F258" i="79" s="1"/>
  <c r="P233" i="79"/>
  <c r="P231" i="79"/>
  <c r="C230" i="79"/>
  <c r="D230" i="79" s="1"/>
  <c r="F228" i="79"/>
  <c r="D219" i="79"/>
  <c r="H216" i="79"/>
  <c r="E186" i="79"/>
  <c r="H186" i="79" s="1"/>
  <c r="K183" i="79"/>
  <c r="E181" i="79"/>
  <c r="H181" i="79" s="1"/>
  <c r="L175" i="79"/>
  <c r="J162" i="79"/>
  <c r="O160" i="79"/>
  <c r="L157" i="79"/>
  <c r="P155" i="79"/>
  <c r="G154" i="79"/>
  <c r="K152" i="79"/>
  <c r="P150" i="79"/>
  <c r="F149" i="79"/>
  <c r="M147" i="79"/>
  <c r="F139" i="79"/>
  <c r="E132" i="79"/>
  <c r="I127" i="79"/>
  <c r="L127" i="79" s="1"/>
  <c r="I116" i="79"/>
  <c r="D113" i="79"/>
  <c r="G113" i="79" s="1"/>
  <c r="D111" i="79"/>
  <c r="G111" i="79" s="1"/>
  <c r="J109" i="79"/>
  <c r="L99" i="79"/>
  <c r="G98" i="79"/>
  <c r="M96" i="79"/>
  <c r="L113" i="79" s="1"/>
  <c r="H95" i="79"/>
  <c r="B94" i="79"/>
  <c r="I92" i="79"/>
  <c r="G81" i="79"/>
  <c r="E80" i="79"/>
  <c r="O77" i="79"/>
  <c r="M76" i="79"/>
  <c r="K75" i="79"/>
  <c r="I74" i="79"/>
  <c r="G73" i="79"/>
  <c r="B65" i="79"/>
  <c r="D63" i="79"/>
  <c r="F61" i="79"/>
  <c r="I61" i="79" s="1"/>
  <c r="G38" i="79"/>
  <c r="J21" i="79"/>
  <c r="J17" i="79"/>
  <c r="J301" i="79"/>
  <c r="E295" i="79"/>
  <c r="E291" i="79"/>
  <c r="L286" i="79"/>
  <c r="G282" i="79"/>
  <c r="F273" i="79"/>
  <c r="G269" i="79"/>
  <c r="E257" i="79"/>
  <c r="G257" i="79" s="1"/>
  <c r="F245" i="79"/>
  <c r="I245" i="79" s="1"/>
  <c r="M233" i="79"/>
  <c r="N231" i="79"/>
  <c r="P229" i="79"/>
  <c r="C228" i="79"/>
  <c r="C219" i="79"/>
  <c r="G216" i="79"/>
  <c r="D206" i="79"/>
  <c r="E200" i="79"/>
  <c r="D186" i="79"/>
  <c r="G186" i="79" s="1"/>
  <c r="K180" i="79"/>
  <c r="K175" i="79"/>
  <c r="F173" i="79"/>
  <c r="I173" i="79" s="1"/>
  <c r="I162" i="79"/>
  <c r="N160" i="79"/>
  <c r="D159" i="79"/>
  <c r="E159" i="79" s="1"/>
  <c r="I157" i="79"/>
  <c r="M155" i="79"/>
  <c r="F154" i="79"/>
  <c r="J152" i="79"/>
  <c r="O150" i="79"/>
  <c r="L147" i="79"/>
  <c r="E139" i="79"/>
  <c r="I134" i="79"/>
  <c r="L134" i="79" s="1"/>
  <c r="D132" i="79"/>
  <c r="H127" i="79"/>
  <c r="K127" i="79" s="1"/>
  <c r="H116" i="79"/>
  <c r="C111" i="79"/>
  <c r="F111" i="79" s="1"/>
  <c r="I109" i="79"/>
  <c r="K99" i="79"/>
  <c r="F98" i="79"/>
  <c r="L96" i="79"/>
  <c r="G95" i="79"/>
  <c r="M93" i="79"/>
  <c r="L110" i="79" s="1"/>
  <c r="H92" i="79"/>
  <c r="F81" i="79"/>
  <c r="D80" i="79"/>
  <c r="B79" i="79"/>
  <c r="C79" i="79" s="1"/>
  <c r="N77" i="79"/>
  <c r="L76" i="79"/>
  <c r="J75" i="79"/>
  <c r="H74" i="79"/>
  <c r="F73" i="79"/>
  <c r="C63" i="79"/>
  <c r="E61" i="79"/>
  <c r="H61" i="79" s="1"/>
  <c r="G59" i="79"/>
  <c r="J59" i="79" s="1"/>
  <c r="H21" i="79"/>
  <c r="H17" i="79"/>
  <c r="F305" i="79"/>
  <c r="F301" i="79"/>
  <c r="H290" i="79"/>
  <c r="H286" i="79"/>
  <c r="F282" i="79"/>
  <c r="L276" i="79"/>
  <c r="E273" i="79"/>
  <c r="F269" i="79"/>
  <c r="D257" i="79"/>
  <c r="F257" i="79" s="1"/>
  <c r="D248" i="79"/>
  <c r="G248" i="79" s="1"/>
  <c r="D245" i="79"/>
  <c r="G245" i="79" s="1"/>
  <c r="L233" i="79"/>
  <c r="L231" i="79"/>
  <c r="M229" i="79"/>
  <c r="F221" i="79"/>
  <c r="I221" i="79" s="1"/>
  <c r="F216" i="79"/>
  <c r="D200" i="79"/>
  <c r="D194" i="79"/>
  <c r="L185" i="79"/>
  <c r="J180" i="79"/>
  <c r="E178" i="79"/>
  <c r="H178" i="79" s="1"/>
  <c r="E173" i="79"/>
  <c r="H173" i="79" s="1"/>
  <c r="H162" i="79"/>
  <c r="L160" i="79"/>
  <c r="Q158" i="79"/>
  <c r="H157" i="79"/>
  <c r="L155" i="79"/>
  <c r="Q153" i="79"/>
  <c r="G152" i="79"/>
  <c r="N150" i="79"/>
  <c r="D149" i="79"/>
  <c r="E149" i="79" s="1"/>
  <c r="K147" i="79"/>
  <c r="G141" i="79"/>
  <c r="J141" i="79" s="1"/>
  <c r="D139" i="79"/>
  <c r="F134" i="79"/>
  <c r="I129" i="79"/>
  <c r="L129" i="79" s="1"/>
  <c r="E127" i="79"/>
  <c r="J114" i="79"/>
  <c r="B111" i="79"/>
  <c r="E111" i="79" s="1"/>
  <c r="H109" i="79"/>
  <c r="J99" i="79"/>
  <c r="E98" i="79"/>
  <c r="K96" i="79"/>
  <c r="F95" i="79"/>
  <c r="L93" i="79"/>
  <c r="G92" i="79"/>
  <c r="E81" i="79"/>
  <c r="O78" i="79"/>
  <c r="M77" i="79"/>
  <c r="K76" i="79"/>
  <c r="I75" i="79"/>
  <c r="G74" i="79"/>
  <c r="E73" i="79"/>
  <c r="G66" i="79"/>
  <c r="J66" i="79" s="1"/>
  <c r="B63" i="79"/>
  <c r="D61" i="79"/>
  <c r="F59" i="79"/>
  <c r="I59" i="79" s="1"/>
  <c r="G37" i="79"/>
  <c r="F21" i="79"/>
  <c r="F17" i="79"/>
  <c r="E305" i="79"/>
  <c r="E301" i="79"/>
  <c r="L294" i="79"/>
  <c r="G290" i="79"/>
  <c r="G286" i="79"/>
  <c r="E282" i="79"/>
  <c r="H276" i="79"/>
  <c r="H272" i="79"/>
  <c r="E269" i="79"/>
  <c r="L247" i="79"/>
  <c r="K244" i="79"/>
  <c r="K233" i="79"/>
  <c r="I231" i="79"/>
  <c r="L229" i="79"/>
  <c r="E221" i="79"/>
  <c r="H218" i="79"/>
  <c r="K218" i="79" s="1"/>
  <c r="C216" i="79"/>
  <c r="K185" i="79"/>
  <c r="E183" i="79"/>
  <c r="H183" i="79" s="1"/>
  <c r="D178" i="79"/>
  <c r="G178" i="79" s="1"/>
  <c r="K172" i="79"/>
  <c r="G162" i="79"/>
  <c r="K160" i="79"/>
  <c r="P158" i="79"/>
  <c r="F157" i="79"/>
  <c r="K155" i="79"/>
  <c r="P153" i="79"/>
  <c r="F152" i="79"/>
  <c r="K150" i="79"/>
  <c r="Q148" i="79"/>
  <c r="J147" i="79"/>
  <c r="F141" i="79"/>
  <c r="I136" i="79"/>
  <c r="L136" i="79" s="1"/>
  <c r="E134" i="79"/>
  <c r="H129" i="79"/>
  <c r="K129" i="79" s="1"/>
  <c r="D127" i="79"/>
  <c r="I114" i="79"/>
  <c r="I112" i="79"/>
  <c r="I99" i="79"/>
  <c r="D98" i="79"/>
  <c r="J96" i="79"/>
  <c r="E95" i="79"/>
  <c r="K93" i="79"/>
  <c r="F92" i="79"/>
  <c r="D81" i="79"/>
  <c r="B80" i="79"/>
  <c r="C80" i="79" s="1"/>
  <c r="N78" i="79"/>
  <c r="L77" i="79"/>
  <c r="J76" i="79"/>
  <c r="H75" i="79"/>
  <c r="F74" i="79"/>
  <c r="D73" i="79"/>
  <c r="F66" i="79"/>
  <c r="I66" i="79" s="1"/>
  <c r="C61" i="79"/>
  <c r="E59" i="79"/>
  <c r="H59" i="79" s="1"/>
  <c r="G36" i="79"/>
  <c r="L24" i="79"/>
  <c r="L20" i="79"/>
  <c r="L16" i="79"/>
  <c r="H300" i="79"/>
  <c r="H294" i="79"/>
  <c r="E290" i="79"/>
  <c r="J285" i="79"/>
  <c r="D282" i="79"/>
  <c r="G276" i="79"/>
  <c r="G272" i="79"/>
  <c r="D269" i="79"/>
  <c r="K247" i="79"/>
  <c r="J233" i="79"/>
  <c r="H231" i="79"/>
  <c r="J229" i="79"/>
  <c r="C221" i="79"/>
  <c r="G218" i="79"/>
  <c r="J218" i="79" s="1"/>
  <c r="J185" i="79"/>
  <c r="D183" i="79"/>
  <c r="G183" i="79" s="1"/>
  <c r="K177" i="79"/>
  <c r="F175" i="79"/>
  <c r="I175" i="79" s="1"/>
  <c r="J172" i="79"/>
  <c r="F162" i="79"/>
  <c r="J160" i="79"/>
  <c r="O158" i="79"/>
  <c r="J155" i="79"/>
  <c r="N153" i="79"/>
  <c r="J150" i="79"/>
  <c r="O148" i="79"/>
  <c r="I147" i="79"/>
  <c r="D141" i="79"/>
  <c r="H136" i="79"/>
  <c r="K136" i="79" s="1"/>
  <c r="I131" i="79"/>
  <c r="L131" i="79" s="1"/>
  <c r="G129" i="79"/>
  <c r="J129" i="79" s="1"/>
  <c r="H112" i="79"/>
  <c r="M100" i="79"/>
  <c r="L117" i="79" s="1"/>
  <c r="H99" i="79"/>
  <c r="B98" i="79"/>
  <c r="I96" i="79"/>
  <c r="D95" i="79"/>
  <c r="J93" i="79"/>
  <c r="E92" i="79"/>
  <c r="O79" i="79"/>
  <c r="M78" i="79"/>
  <c r="K77" i="79"/>
  <c r="I76" i="79"/>
  <c r="G75" i="79"/>
  <c r="E74" i="79"/>
  <c r="E66" i="79"/>
  <c r="H66" i="79" s="1"/>
  <c r="G64" i="79"/>
  <c r="J64" i="79" s="1"/>
  <c r="B61" i="79"/>
  <c r="D59" i="79"/>
  <c r="G44" i="79"/>
  <c r="J24" i="79"/>
  <c r="J20" i="79"/>
  <c r="J16" i="79"/>
  <c r="L304" i="79"/>
  <c r="G300" i="79"/>
  <c r="G294" i="79"/>
  <c r="D290" i="79"/>
  <c r="I285" i="79"/>
  <c r="J281" i="79"/>
  <c r="J275" i="79"/>
  <c r="F272" i="79"/>
  <c r="E256" i="79"/>
  <c r="J247" i="79"/>
  <c r="I233" i="79"/>
  <c r="G231" i="79"/>
  <c r="H229" i="79"/>
  <c r="F218" i="79"/>
  <c r="I218" i="79" s="1"/>
  <c r="L182" i="79"/>
  <c r="J177" i="79"/>
  <c r="E175" i="79"/>
  <c r="H175" i="79" s="1"/>
  <c r="Q161" i="79"/>
  <c r="G160" i="79"/>
  <c r="N158" i="79"/>
  <c r="D157" i="79"/>
  <c r="E157" i="79" s="1"/>
  <c r="I155" i="79"/>
  <c r="M153" i="79"/>
  <c r="D152" i="79"/>
  <c r="E152" i="79" s="1"/>
  <c r="H150" i="79"/>
  <c r="N148" i="79"/>
  <c r="H147" i="79"/>
  <c r="I138" i="79"/>
  <c r="L138" i="79" s="1"/>
  <c r="G136" i="79"/>
  <c r="J136" i="79" s="1"/>
  <c r="H131" i="79"/>
  <c r="K131" i="79" s="1"/>
  <c r="F129" i="79"/>
  <c r="D116" i="79"/>
  <c r="G116" i="79" s="1"/>
  <c r="J110" i="79"/>
  <c r="L100" i="79"/>
  <c r="G99" i="79"/>
  <c r="M97" i="79"/>
  <c r="L114" i="79" s="1"/>
  <c r="H96" i="79"/>
  <c r="B95" i="79"/>
  <c r="I93" i="79"/>
  <c r="D92" i="79"/>
  <c r="B81" i="79"/>
  <c r="C81" i="79" s="1"/>
  <c r="N79" i="79"/>
  <c r="L78" i="79"/>
  <c r="J77" i="79"/>
  <c r="H76" i="79"/>
  <c r="F75" i="79"/>
  <c r="D74" i="79"/>
  <c r="B73" i="79"/>
  <c r="D66" i="79"/>
  <c r="F64" i="79"/>
  <c r="I64" i="79" s="1"/>
  <c r="C59" i="79"/>
  <c r="G43" i="79"/>
  <c r="G35" i="79"/>
  <c r="H24" i="79"/>
  <c r="H20" i="79"/>
  <c r="H16" i="79"/>
  <c r="H304" i="79"/>
  <c r="E300" i="79"/>
  <c r="J293" i="79"/>
  <c r="J289" i="79"/>
  <c r="G285" i="79"/>
  <c r="I281" i="79"/>
  <c r="I275" i="79"/>
  <c r="E272" i="79"/>
  <c r="F244" i="79"/>
  <c r="I244" i="79" s="1"/>
  <c r="E233" i="79"/>
  <c r="F231" i="79"/>
  <c r="E229" i="79"/>
  <c r="E218" i="79"/>
  <c r="E204" i="79"/>
  <c r="F185" i="79"/>
  <c r="I185" i="79" s="1"/>
  <c r="F180" i="79"/>
  <c r="I180" i="79" s="1"/>
  <c r="D175" i="79"/>
  <c r="G175" i="79" s="1"/>
  <c r="P161" i="79"/>
  <c r="F160" i="79"/>
  <c r="K158" i="79"/>
  <c r="O156" i="79"/>
  <c r="H155" i="79"/>
  <c r="L153" i="79"/>
  <c r="Q151" i="79"/>
  <c r="G150" i="79"/>
  <c r="M148" i="79"/>
  <c r="H138" i="79"/>
  <c r="K138" i="79" s="1"/>
  <c r="D136" i="79"/>
  <c r="G131" i="79"/>
  <c r="J131" i="79" s="1"/>
  <c r="I126" i="79"/>
  <c r="C116" i="79"/>
  <c r="F116" i="79" s="1"/>
  <c r="C114" i="79"/>
  <c r="F114" i="79" s="1"/>
  <c r="I110" i="79"/>
  <c r="D109" i="79"/>
  <c r="K100" i="79"/>
  <c r="F99" i="79"/>
  <c r="L97" i="79"/>
  <c r="G96" i="79"/>
  <c r="M94" i="79"/>
  <c r="L111" i="79" s="1"/>
  <c r="H93" i="79"/>
  <c r="B92" i="79"/>
  <c r="O80" i="79"/>
  <c r="M79" i="79"/>
  <c r="K78" i="79"/>
  <c r="I77" i="79"/>
  <c r="G76" i="79"/>
  <c r="E75" i="79"/>
  <c r="C66" i="79"/>
  <c r="E64" i="79"/>
  <c r="H64" i="79" s="1"/>
  <c r="G62" i="79"/>
  <c r="J62" i="79" s="1"/>
  <c r="B59" i="79"/>
  <c r="F24" i="79"/>
  <c r="F20" i="79"/>
  <c r="F16" i="79"/>
  <c r="G304" i="79"/>
  <c r="D300" i="79"/>
  <c r="I293" i="79"/>
  <c r="I289" i="79"/>
  <c r="F285" i="79"/>
  <c r="H275" i="79"/>
  <c r="D272" i="79"/>
  <c r="E247" i="79"/>
  <c r="H247" i="79" s="1"/>
  <c r="E244" i="79"/>
  <c r="H244" i="79" s="1"/>
  <c r="E231" i="79"/>
  <c r="G220" i="79"/>
  <c r="J220" i="79" s="1"/>
  <c r="D218" i="79"/>
  <c r="D204" i="79"/>
  <c r="D198" i="79"/>
  <c r="E185" i="79"/>
  <c r="H185" i="79" s="1"/>
  <c r="L179" i="79"/>
  <c r="F177" i="79"/>
  <c r="I177" i="79" s="1"/>
  <c r="L174" i="79"/>
  <c r="F172" i="79"/>
  <c r="I172" i="79" s="1"/>
  <c r="N161" i="79"/>
  <c r="J158" i="79"/>
  <c r="N156" i="79"/>
  <c r="I153" i="79"/>
  <c r="P151" i="79"/>
  <c r="F150" i="79"/>
  <c r="L148" i="79"/>
  <c r="D147" i="79"/>
  <c r="G138" i="79"/>
  <c r="J138" i="79" s="1"/>
  <c r="I133" i="79"/>
  <c r="L133" i="79" s="1"/>
  <c r="F131" i="79"/>
  <c r="H126" i="79"/>
  <c r="J117" i="79"/>
  <c r="B114" i="79"/>
  <c r="E114" i="79" s="1"/>
  <c r="H110" i="79"/>
  <c r="C109" i="79"/>
  <c r="J100" i="79"/>
  <c r="E99" i="79"/>
  <c r="K97" i="79"/>
  <c r="F96" i="79"/>
  <c r="L94" i="79"/>
  <c r="G93" i="79"/>
  <c r="N80" i="79"/>
  <c r="L79" i="79"/>
  <c r="J78" i="79"/>
  <c r="H77" i="79"/>
  <c r="F76" i="79"/>
  <c r="D75" i="79"/>
  <c r="B74" i="79"/>
  <c r="C74" i="79" s="1"/>
  <c r="B66" i="79"/>
  <c r="D64" i="79"/>
  <c r="F62" i="79"/>
  <c r="I62" i="79" s="1"/>
  <c r="L23" i="79"/>
  <c r="L19" i="79"/>
  <c r="J303" i="79"/>
  <c r="G293" i="79"/>
  <c r="L288" i="79"/>
  <c r="L284" i="79"/>
  <c r="G275" i="79"/>
  <c r="J271" i="79"/>
  <c r="E76" i="79"/>
  <c r="H153" i="79"/>
  <c r="O230" i="79"/>
  <c r="H19" i="79"/>
  <c r="G133" i="79"/>
  <c r="J133" i="79" s="1"/>
  <c r="K171" i="79"/>
  <c r="J19" i="79"/>
  <c r="F60" i="79"/>
  <c r="I60" i="79" s="1"/>
  <c r="F77" i="79"/>
  <c r="K94" i="79"/>
  <c r="I135" i="79"/>
  <c r="L135" i="79" s="1"/>
  <c r="P154" i="79"/>
  <c r="L171" i="79"/>
  <c r="N232" i="79"/>
  <c r="I271" i="79"/>
  <c r="D131" i="79"/>
  <c r="H23" i="79"/>
  <c r="H115" i="79"/>
  <c r="D155" i="79"/>
  <c r="E155" i="79" s="1"/>
  <c r="P232" i="79"/>
  <c r="F275" i="79"/>
  <c r="L151" i="79"/>
  <c r="J115" i="79"/>
  <c r="L156" i="79"/>
  <c r="N234" i="79"/>
  <c r="J94" i="79"/>
  <c r="G60" i="79"/>
  <c r="J60" i="79" s="1"/>
  <c r="D96" i="79"/>
  <c r="J23" i="79"/>
  <c r="D62" i="79"/>
  <c r="H78" i="79"/>
  <c r="E96" i="79"/>
  <c r="E138" i="79"/>
  <c r="E62" i="79"/>
  <c r="H62" i="79" s="1"/>
  <c r="I78" i="79"/>
  <c r="I97" i="79"/>
  <c r="H117" i="79"/>
  <c r="F138" i="79"/>
  <c r="M156" i="79"/>
  <c r="D177" i="79"/>
  <c r="G177" i="79" s="1"/>
  <c r="O234" i="79"/>
  <c r="K284" i="79"/>
  <c r="B64" i="79"/>
  <c r="J79" i="79"/>
  <c r="J97" i="79"/>
  <c r="I117" i="79"/>
  <c r="G140" i="79"/>
  <c r="J140" i="79" s="1"/>
  <c r="G158" i="79"/>
  <c r="E177" i="79"/>
  <c r="H177" i="79" s="1"/>
  <c r="K288" i="79"/>
  <c r="K79" i="79"/>
  <c r="B99" i="79"/>
  <c r="H140" i="79"/>
  <c r="K140" i="79" s="1"/>
  <c r="H158" i="79"/>
  <c r="F293" i="79"/>
  <c r="G77" i="79"/>
  <c r="C64" i="79"/>
  <c r="L80" i="79"/>
  <c r="D99" i="79"/>
  <c r="Q159" i="79"/>
  <c r="K179" i="79"/>
  <c r="M80" i="79"/>
  <c r="H100" i="79"/>
  <c r="D160" i="79"/>
  <c r="E160" i="79" s="1"/>
  <c r="F182" i="79"/>
  <c r="I182" i="79" s="1"/>
  <c r="I303" i="79"/>
  <c r="L21" i="78"/>
  <c r="D60" i="78"/>
  <c r="D63" i="78"/>
  <c r="J73" i="78"/>
  <c r="F75" i="78"/>
  <c r="D77" i="78"/>
  <c r="N80" i="78"/>
  <c r="J95" i="78"/>
  <c r="K98" i="78"/>
  <c r="D133" i="78"/>
  <c r="D141" i="78"/>
  <c r="J151" i="78"/>
  <c r="D158" i="78"/>
  <c r="E158" i="78" s="1"/>
  <c r="D180" i="78"/>
  <c r="G180" i="78" s="1"/>
  <c r="K228" i="78"/>
  <c r="D244" i="78"/>
  <c r="G244" i="78" s="1"/>
  <c r="C63" i="78"/>
  <c r="B109" i="78"/>
  <c r="F22" i="78"/>
  <c r="K158" i="78"/>
  <c r="D66" i="78"/>
  <c r="K75" i="78"/>
  <c r="G77" i="78"/>
  <c r="F79" i="78"/>
  <c r="I81" i="78"/>
  <c r="K92" i="78"/>
  <c r="L95" i="78"/>
  <c r="D99" i="78"/>
  <c r="C110" i="78"/>
  <c r="F110" i="78" s="1"/>
  <c r="C115" i="78"/>
  <c r="F115" i="78" s="1"/>
  <c r="P152" i="78"/>
  <c r="L159" i="78"/>
  <c r="K181" i="78"/>
  <c r="D208" i="78"/>
  <c r="N228" i="78"/>
  <c r="E260" i="78"/>
  <c r="G260" i="78" s="1"/>
  <c r="H20" i="78"/>
  <c r="F31" i="78"/>
  <c r="F62" i="78"/>
  <c r="I62" i="78" s="1"/>
  <c r="F73" i="78"/>
  <c r="B75" i="78"/>
  <c r="C75" i="78" s="1"/>
  <c r="O76" i="78"/>
  <c r="J80" i="78"/>
  <c r="M97" i="78"/>
  <c r="L114" i="78" s="1"/>
  <c r="H131" i="78"/>
  <c r="K131" i="78" s="1"/>
  <c r="I139" i="78"/>
  <c r="L139" i="78" s="1"/>
  <c r="O156" i="78"/>
  <c r="D179" i="78"/>
  <c r="G179" i="78" s="1"/>
  <c r="H17" i="78"/>
  <c r="J22" i="78"/>
  <c r="C58" i="78"/>
  <c r="N73" i="78"/>
  <c r="M75" i="78"/>
  <c r="H77" i="78"/>
  <c r="G79" i="78"/>
  <c r="J81" i="78"/>
  <c r="L92" i="78"/>
  <c r="M95" i="78"/>
  <c r="L112" i="78" s="1"/>
  <c r="E99" i="78"/>
  <c r="D110" i="78"/>
  <c r="G110" i="78" s="1"/>
  <c r="D147" i="78"/>
  <c r="D153" i="78"/>
  <c r="E153" i="78" s="1"/>
  <c r="M159" i="78"/>
  <c r="D182" i="78"/>
  <c r="G182" i="78" s="1"/>
  <c r="G230" i="78"/>
  <c r="J21" i="78"/>
  <c r="G43" i="78"/>
  <c r="D75" i="78"/>
  <c r="G306" i="78"/>
  <c r="K304" i="78"/>
  <c r="E303" i="78"/>
  <c r="I301" i="78"/>
  <c r="G296" i="78"/>
  <c r="K294" i="78"/>
  <c r="E293" i="78"/>
  <c r="I291" i="78"/>
  <c r="G288" i="78"/>
  <c r="K286" i="78"/>
  <c r="E285" i="78"/>
  <c r="I283" i="78"/>
  <c r="K276" i="78"/>
  <c r="E275" i="78"/>
  <c r="I273" i="78"/>
  <c r="G270" i="78"/>
  <c r="F306" i="78"/>
  <c r="J304" i="78"/>
  <c r="D303" i="78"/>
  <c r="H301" i="78"/>
  <c r="F296" i="78"/>
  <c r="J294" i="78"/>
  <c r="D293" i="78"/>
  <c r="H291" i="78"/>
  <c r="L289" i="78"/>
  <c r="F288" i="78"/>
  <c r="J286" i="78"/>
  <c r="D285" i="78"/>
  <c r="H283" i="78"/>
  <c r="L281" i="78"/>
  <c r="J276" i="78"/>
  <c r="D275" i="78"/>
  <c r="H273" i="78"/>
  <c r="L271" i="78"/>
  <c r="F270" i="78"/>
  <c r="E249" i="78"/>
  <c r="H249" i="78" s="1"/>
  <c r="K243" i="78"/>
  <c r="I234" i="78"/>
  <c r="G233" i="78"/>
  <c r="E232" i="78"/>
  <c r="C231" i="78"/>
  <c r="D231" i="78" s="1"/>
  <c r="O229" i="78"/>
  <c r="M228" i="78"/>
  <c r="H221" i="78"/>
  <c r="K221" i="78" s="1"/>
  <c r="C218" i="78"/>
  <c r="E216" i="78"/>
  <c r="E207" i="78"/>
  <c r="E203" i="78"/>
  <c r="E199" i="78"/>
  <c r="E195" i="78"/>
  <c r="J183" i="78"/>
  <c r="L181" i="78"/>
  <c r="E180" i="78"/>
  <c r="H180" i="78" s="1"/>
  <c r="K174" i="78"/>
  <c r="D173" i="78"/>
  <c r="G173" i="78" s="1"/>
  <c r="F171" i="78"/>
  <c r="Q160" i="78"/>
  <c r="O159" i="78"/>
  <c r="M158" i="78"/>
  <c r="K157" i="78"/>
  <c r="I156" i="78"/>
  <c r="G155" i="78"/>
  <c r="Q152" i="78"/>
  <c r="O151" i="78"/>
  <c r="M150" i="78"/>
  <c r="K149" i="78"/>
  <c r="I148" i="78"/>
  <c r="G147" i="78"/>
  <c r="I141" i="78"/>
  <c r="L141" i="78" s="1"/>
  <c r="D138" i="78"/>
  <c r="F136" i="78"/>
  <c r="H134" i="78"/>
  <c r="K134" i="78" s="1"/>
  <c r="E129" i="78"/>
  <c r="G127" i="78"/>
  <c r="J127" i="78" s="1"/>
  <c r="B116" i="78"/>
  <c r="E116" i="78" s="1"/>
  <c r="H114" i="78"/>
  <c r="C113" i="78"/>
  <c r="F113" i="78" s="1"/>
  <c r="I111" i="78"/>
  <c r="E306" i="78"/>
  <c r="I304" i="78"/>
  <c r="G301" i="78"/>
  <c r="E296" i="78"/>
  <c r="I294" i="78"/>
  <c r="G291" i="78"/>
  <c r="K289" i="78"/>
  <c r="E288" i="78"/>
  <c r="I286" i="78"/>
  <c r="G283" i="78"/>
  <c r="K281" i="78"/>
  <c r="I276" i="78"/>
  <c r="G273" i="78"/>
  <c r="K271" i="78"/>
  <c r="E270" i="78"/>
  <c r="D249" i="78"/>
  <c r="G249" i="78" s="1"/>
  <c r="F247" i="78"/>
  <c r="I247" i="78" s="1"/>
  <c r="J243" i="78"/>
  <c r="H234" i="78"/>
  <c r="F233" i="78"/>
  <c r="P230" i="78"/>
  <c r="N229" i="78"/>
  <c r="D306" i="78"/>
  <c r="H304" i="78"/>
  <c r="L302" i="78"/>
  <c r="F301" i="78"/>
  <c r="D296" i="78"/>
  <c r="H294" i="78"/>
  <c r="L292" i="78"/>
  <c r="F291" i="78"/>
  <c r="J289" i="78"/>
  <c r="D288" i="78"/>
  <c r="H286" i="78"/>
  <c r="L284" i="78"/>
  <c r="F283" i="78"/>
  <c r="J281" i="78"/>
  <c r="H276" i="78"/>
  <c r="L274" i="78"/>
  <c r="F273" i="78"/>
  <c r="J271" i="78"/>
  <c r="D270" i="78"/>
  <c r="E259" i="78"/>
  <c r="G259" i="78" s="1"/>
  <c r="L248" i="78"/>
  <c r="E247" i="78"/>
  <c r="H247" i="78" s="1"/>
  <c r="G234" i="78"/>
  <c r="G304" i="78"/>
  <c r="K302" i="78"/>
  <c r="E301" i="78"/>
  <c r="G294" i="78"/>
  <c r="K292" i="78"/>
  <c r="E291" i="78"/>
  <c r="I289" i="78"/>
  <c r="G286" i="78"/>
  <c r="K284" i="78"/>
  <c r="E283" i="78"/>
  <c r="I281" i="78"/>
  <c r="G276" i="78"/>
  <c r="K274" i="78"/>
  <c r="E273" i="78"/>
  <c r="I271" i="78"/>
  <c r="D259" i="78"/>
  <c r="F259" i="78" s="1"/>
  <c r="K248" i="78"/>
  <c r="D247" i="78"/>
  <c r="G247" i="78" s="1"/>
  <c r="F245" i="78"/>
  <c r="I245" i="78" s="1"/>
  <c r="L305" i="78"/>
  <c r="F304" i="78"/>
  <c r="J302" i="78"/>
  <c r="D301" i="78"/>
  <c r="L295" i="78"/>
  <c r="F294" i="78"/>
  <c r="J292" i="78"/>
  <c r="D291" i="78"/>
  <c r="H289" i="78"/>
  <c r="L287" i="78"/>
  <c r="F286" i="78"/>
  <c r="J284" i="78"/>
  <c r="D283" i="78"/>
  <c r="H281" i="78"/>
  <c r="L277" i="78"/>
  <c r="F276" i="78"/>
  <c r="J274" i="78"/>
  <c r="D273" i="78"/>
  <c r="H271" i="78"/>
  <c r="J248" i="78"/>
  <c r="L246" i="78"/>
  <c r="E245" i="78"/>
  <c r="H245" i="78" s="1"/>
  <c r="E234" i="78"/>
  <c r="C233" i="78"/>
  <c r="D233" i="78" s="1"/>
  <c r="O231" i="78"/>
  <c r="M230" i="78"/>
  <c r="K229" i="78"/>
  <c r="I228" i="78"/>
  <c r="D221" i="78"/>
  <c r="F219" i="78"/>
  <c r="I219" i="78" s="1"/>
  <c r="H217" i="78"/>
  <c r="K217" i="78" s="1"/>
  <c r="E206" i="78"/>
  <c r="E202" i="78"/>
  <c r="E198" i="78"/>
  <c r="E194" i="78"/>
  <c r="K186" i="78"/>
  <c r="D185" i="78"/>
  <c r="G185" i="78" s="1"/>
  <c r="F183" i="78"/>
  <c r="I183" i="78" s="1"/>
  <c r="J179" i="78"/>
  <c r="L177" i="78"/>
  <c r="E176" i="78"/>
  <c r="H176" i="78" s="1"/>
  <c r="Q162" i="78"/>
  <c r="O161" i="78"/>
  <c r="M160" i="78"/>
  <c r="K159" i="78"/>
  <c r="I158" i="78"/>
  <c r="G157" i="78"/>
  <c r="Q154" i="78"/>
  <c r="O153" i="78"/>
  <c r="M152" i="78"/>
  <c r="K151" i="78"/>
  <c r="I150" i="78"/>
  <c r="G149" i="78"/>
  <c r="E141" i="78"/>
  <c r="G139" i="78"/>
  <c r="J139" i="78" s="1"/>
  <c r="I137" i="78"/>
  <c r="L137" i="78" s="1"/>
  <c r="D134" i="78"/>
  <c r="F132" i="78"/>
  <c r="H130" i="78"/>
  <c r="K130" i="78" s="1"/>
  <c r="C117" i="78"/>
  <c r="F117" i="78" s="1"/>
  <c r="I115" i="78"/>
  <c r="D114" i="78"/>
  <c r="G114" i="78" s="1"/>
  <c r="J112" i="78"/>
  <c r="K305" i="78"/>
  <c r="E304" i="78"/>
  <c r="I302" i="78"/>
  <c r="K295" i="78"/>
  <c r="E294" i="78"/>
  <c r="I292" i="78"/>
  <c r="G289" i="78"/>
  <c r="K287" i="78"/>
  <c r="E286" i="78"/>
  <c r="I284" i="78"/>
  <c r="G281" i="78"/>
  <c r="K277" i="78"/>
  <c r="E276" i="78"/>
  <c r="I274" i="78"/>
  <c r="G271" i="78"/>
  <c r="L269" i="78"/>
  <c r="K246" i="78"/>
  <c r="D245" i="78"/>
  <c r="G245" i="78" s="1"/>
  <c r="F243" i="78"/>
  <c r="J305" i="78"/>
  <c r="D304" i="78"/>
  <c r="H302" i="78"/>
  <c r="L300" i="78"/>
  <c r="J295" i="78"/>
  <c r="D294" i="78"/>
  <c r="H292" i="78"/>
  <c r="L290" i="78"/>
  <c r="F289" i="78"/>
  <c r="J287" i="78"/>
  <c r="D286" i="78"/>
  <c r="H284" i="78"/>
  <c r="L282" i="78"/>
  <c r="F281" i="78"/>
  <c r="J277" i="78"/>
  <c r="D276" i="78"/>
  <c r="H274" i="78"/>
  <c r="L272" i="78"/>
  <c r="F271" i="78"/>
  <c r="K269" i="78"/>
  <c r="E262" i="78"/>
  <c r="G262" i="78" s="1"/>
  <c r="E258" i="78"/>
  <c r="G258" i="78" s="1"/>
  <c r="J246" i="78"/>
  <c r="L244" i="78"/>
  <c r="E243" i="78"/>
  <c r="C234" i="78"/>
  <c r="D234" i="78" s="1"/>
  <c r="I305" i="78"/>
  <c r="G302" i="78"/>
  <c r="K300" i="78"/>
  <c r="I295" i="78"/>
  <c r="G292" i="78"/>
  <c r="K290" i="78"/>
  <c r="E289" i="78"/>
  <c r="I287" i="78"/>
  <c r="G284" i="78"/>
  <c r="K282" i="78"/>
  <c r="E281" i="78"/>
  <c r="I277" i="78"/>
  <c r="G274" i="78"/>
  <c r="K272" i="78"/>
  <c r="E271" i="78"/>
  <c r="J269" i="78"/>
  <c r="D262" i="78"/>
  <c r="F262" i="78" s="1"/>
  <c r="D258" i="78"/>
  <c r="F258" i="78" s="1"/>
  <c r="K244" i="78"/>
  <c r="D243" i="78"/>
  <c r="P233" i="78"/>
  <c r="N232" i="78"/>
  <c r="L231" i="78"/>
  <c r="J230" i="78"/>
  <c r="H229" i="78"/>
  <c r="F228" i="78"/>
  <c r="H222" i="78"/>
  <c r="K222" i="78" s="1"/>
  <c r="C219" i="78"/>
  <c r="E217" i="78"/>
  <c r="J184" i="78"/>
  <c r="L182" i="78"/>
  <c r="E181" i="78"/>
  <c r="H181" i="78" s="1"/>
  <c r="K175" i="78"/>
  <c r="D174" i="78"/>
  <c r="G174" i="78" s="1"/>
  <c r="F172" i="78"/>
  <c r="I172" i="78" s="1"/>
  <c r="N162" i="78"/>
  <c r="L161" i="78"/>
  <c r="J160" i="78"/>
  <c r="H159" i="78"/>
  <c r="F158" i="78"/>
  <c r="D157" i="78"/>
  <c r="E157" i="78" s="1"/>
  <c r="P155" i="78"/>
  <c r="N154" i="78"/>
  <c r="L153" i="78"/>
  <c r="J152" i="78"/>
  <c r="H151" i="78"/>
  <c r="F150" i="78"/>
  <c r="H305" i="78"/>
  <c r="L303" i="78"/>
  <c r="F302" i="78"/>
  <c r="J300" i="78"/>
  <c r="H295" i="78"/>
  <c r="L293" i="78"/>
  <c r="F292" i="78"/>
  <c r="J290" i="78"/>
  <c r="D289" i="78"/>
  <c r="H287" i="78"/>
  <c r="L285" i="78"/>
  <c r="F284" i="78"/>
  <c r="J282" i="78"/>
  <c r="D281" i="78"/>
  <c r="H277" i="78"/>
  <c r="L275" i="78"/>
  <c r="F274" i="78"/>
  <c r="J272" i="78"/>
  <c r="D271" i="78"/>
  <c r="I269" i="78"/>
  <c r="F248" i="78"/>
  <c r="I248" i="78" s="1"/>
  <c r="J244" i="78"/>
  <c r="O233" i="78"/>
  <c r="M232" i="78"/>
  <c r="K231" i="78"/>
  <c r="I230" i="78"/>
  <c r="G229" i="78"/>
  <c r="E228" i="78"/>
  <c r="G222" i="78"/>
  <c r="J222" i="78" s="1"/>
  <c r="D217" i="78"/>
  <c r="E205" i="78"/>
  <c r="E201" i="78"/>
  <c r="E197" i="78"/>
  <c r="E193" i="78"/>
  <c r="K182" i="78"/>
  <c r="D181" i="78"/>
  <c r="G181" i="78" s="1"/>
  <c r="F179" i="78"/>
  <c r="I179" i="78" s="1"/>
  <c r="J175" i="78"/>
  <c r="L173" i="78"/>
  <c r="E172" i="78"/>
  <c r="H172" i="78" s="1"/>
  <c r="M162" i="78"/>
  <c r="K161" i="78"/>
  <c r="I160" i="78"/>
  <c r="G159" i="78"/>
  <c r="Q156" i="78"/>
  <c r="O155" i="78"/>
  <c r="M154" i="78"/>
  <c r="K153" i="78"/>
  <c r="I152" i="78"/>
  <c r="G151" i="78"/>
  <c r="G305" i="78"/>
  <c r="K303" i="78"/>
  <c r="E302" i="78"/>
  <c r="I300" i="78"/>
  <c r="G295" i="78"/>
  <c r="K293" i="78"/>
  <c r="E292" i="78"/>
  <c r="I290" i="78"/>
  <c r="G287" i="78"/>
  <c r="K285" i="78"/>
  <c r="E284" i="78"/>
  <c r="I282" i="78"/>
  <c r="G277" i="78"/>
  <c r="K275" i="78"/>
  <c r="E274" i="78"/>
  <c r="I272" i="78"/>
  <c r="H269" i="78"/>
  <c r="L249" i="78"/>
  <c r="E248" i="78"/>
  <c r="H248" i="78" s="1"/>
  <c r="L306" i="78"/>
  <c r="F305" i="78"/>
  <c r="J303" i="78"/>
  <c r="D302" i="78"/>
  <c r="H300" i="78"/>
  <c r="L296" i="78"/>
  <c r="F295" i="78"/>
  <c r="J293" i="78"/>
  <c r="D292" i="78"/>
  <c r="H290" i="78"/>
  <c r="L288" i="78"/>
  <c r="F287" i="78"/>
  <c r="J285" i="78"/>
  <c r="D284" i="78"/>
  <c r="H282" i="78"/>
  <c r="F277" i="78"/>
  <c r="J275" i="78"/>
  <c r="D274" i="78"/>
  <c r="H272" i="78"/>
  <c r="L270" i="78"/>
  <c r="G269" i="78"/>
  <c r="E261" i="78"/>
  <c r="G261" i="78" s="1"/>
  <c r="E257" i="78"/>
  <c r="G257" i="78" s="1"/>
  <c r="K249" i="78"/>
  <c r="D248" i="78"/>
  <c r="G248" i="78" s="1"/>
  <c r="F246" i="78"/>
  <c r="I246" i="78" s="1"/>
  <c r="K306" i="78"/>
  <c r="E305" i="78"/>
  <c r="I303" i="78"/>
  <c r="G300" i="78"/>
  <c r="K296" i="78"/>
  <c r="E295" i="78"/>
  <c r="I293" i="78"/>
  <c r="G290" i="78"/>
  <c r="K288" i="78"/>
  <c r="E287" i="78"/>
  <c r="I285" i="78"/>
  <c r="G282" i="78"/>
  <c r="E277" i="78"/>
  <c r="I275" i="78"/>
  <c r="G272" i="78"/>
  <c r="K270" i="78"/>
  <c r="F269" i="78"/>
  <c r="D261" i="78"/>
  <c r="F261" i="78" s="1"/>
  <c r="D257" i="78"/>
  <c r="F257" i="78" s="1"/>
  <c r="J249" i="78"/>
  <c r="L247" i="78"/>
  <c r="E246" i="78"/>
  <c r="H246" i="78" s="1"/>
  <c r="J306" i="78"/>
  <c r="D305" i="78"/>
  <c r="H303" i="78"/>
  <c r="L301" i="78"/>
  <c r="F300" i="78"/>
  <c r="J296" i="78"/>
  <c r="D295" i="78"/>
  <c r="H293" i="78"/>
  <c r="L291" i="78"/>
  <c r="F290" i="78"/>
  <c r="J288" i="78"/>
  <c r="D287" i="78"/>
  <c r="H285" i="78"/>
  <c r="L283" i="78"/>
  <c r="F282" i="78"/>
  <c r="D277" i="78"/>
  <c r="H275" i="78"/>
  <c r="L273" i="78"/>
  <c r="F272" i="78"/>
  <c r="J270" i="78"/>
  <c r="E269" i="78"/>
  <c r="K247" i="78"/>
  <c r="D246" i="78"/>
  <c r="G246" i="78" s="1"/>
  <c r="F244" i="78"/>
  <c r="I244" i="78" s="1"/>
  <c r="M234" i="78"/>
  <c r="K233" i="78"/>
  <c r="I232" i="78"/>
  <c r="G231" i="78"/>
  <c r="E230" i="78"/>
  <c r="C229" i="78"/>
  <c r="D229" i="78" s="1"/>
  <c r="C222" i="78"/>
  <c r="E220" i="78"/>
  <c r="G218" i="78"/>
  <c r="J218" i="78" s="1"/>
  <c r="E208" i="78"/>
  <c r="E204" i="78"/>
  <c r="E200" i="78"/>
  <c r="E196" i="78"/>
  <c r="L185" i="78"/>
  <c r="E184" i="78"/>
  <c r="H184" i="78" s="1"/>
  <c r="K178" i="78"/>
  <c r="D177" i="78"/>
  <c r="G177" i="78" s="1"/>
  <c r="F175" i="78"/>
  <c r="I175" i="78" s="1"/>
  <c r="J171" i="78"/>
  <c r="I162" i="78"/>
  <c r="G161" i="78"/>
  <c r="Q158" i="78"/>
  <c r="O157" i="78"/>
  <c r="M156" i="78"/>
  <c r="K155" i="78"/>
  <c r="I154" i="78"/>
  <c r="G153" i="78"/>
  <c r="Q150" i="78"/>
  <c r="O149" i="78"/>
  <c r="I306" i="78"/>
  <c r="K291" i="78"/>
  <c r="D260" i="78"/>
  <c r="F260" i="78" s="1"/>
  <c r="N233" i="78"/>
  <c r="C232" i="78"/>
  <c r="D232" i="78" s="1"/>
  <c r="F230" i="78"/>
  <c r="J228" i="78"/>
  <c r="D222" i="78"/>
  <c r="H219" i="78"/>
  <c r="K219" i="78" s="1"/>
  <c r="J186" i="78"/>
  <c r="D184" i="78"/>
  <c r="G184" i="78" s="1"/>
  <c r="L178" i="78"/>
  <c r="J173" i="78"/>
  <c r="E171" i="78"/>
  <c r="O162" i="78"/>
  <c r="J159" i="78"/>
  <c r="N157" i="78"/>
  <c r="F156" i="78"/>
  <c r="J154" i="78"/>
  <c r="O152" i="78"/>
  <c r="J149" i="78"/>
  <c r="F148" i="78"/>
  <c r="I132" i="78"/>
  <c r="L132" i="78" s="1"/>
  <c r="I130" i="78"/>
  <c r="L130" i="78" s="1"/>
  <c r="H128" i="78"/>
  <c r="K128" i="78" s="1"/>
  <c r="H126" i="78"/>
  <c r="J114" i="78"/>
  <c r="B113" i="78"/>
  <c r="E113" i="78" s="1"/>
  <c r="M99" i="78"/>
  <c r="L116" i="78" s="1"/>
  <c r="H98" i="78"/>
  <c r="B97" i="78"/>
  <c r="I95" i="78"/>
  <c r="D94" i="78"/>
  <c r="J92" i="78"/>
  <c r="H81" i="78"/>
  <c r="F80" i="78"/>
  <c r="D79" i="78"/>
  <c r="B78" i="78"/>
  <c r="C78" i="78" s="1"/>
  <c r="N76" i="78"/>
  <c r="L75" i="78"/>
  <c r="J74" i="78"/>
  <c r="H73" i="78"/>
  <c r="C65" i="78"/>
  <c r="E63" i="78"/>
  <c r="H63" i="78" s="1"/>
  <c r="G61" i="78"/>
  <c r="J61" i="78" s="1"/>
  <c r="B58" i="78"/>
  <c r="H306" i="78"/>
  <c r="J291" i="78"/>
  <c r="L276" i="78"/>
  <c r="M233" i="78"/>
  <c r="P231" i="78"/>
  <c r="H228" i="78"/>
  <c r="G219" i="78"/>
  <c r="J219" i="78" s="1"/>
  <c r="D207" i="78"/>
  <c r="D201" i="78"/>
  <c r="L183" i="78"/>
  <c r="J178" i="78"/>
  <c r="F176" i="78"/>
  <c r="I176" i="78" s="1"/>
  <c r="D171" i="78"/>
  <c r="L162" i="78"/>
  <c r="D161" i="78"/>
  <c r="E161" i="78" s="1"/>
  <c r="I159" i="78"/>
  <c r="M157" i="78"/>
  <c r="D156" i="78"/>
  <c r="E156" i="78" s="1"/>
  <c r="H154" i="78"/>
  <c r="N152" i="78"/>
  <c r="D151" i="78"/>
  <c r="E151" i="78" s="1"/>
  <c r="I149" i="78"/>
  <c r="D148" i="78"/>
  <c r="E148" i="78" s="1"/>
  <c r="I140" i="78"/>
  <c r="L140" i="78" s="1"/>
  <c r="I138" i="78"/>
  <c r="L138" i="78" s="1"/>
  <c r="I136" i="78"/>
  <c r="L136" i="78" s="1"/>
  <c r="I134" i="78"/>
  <c r="L134" i="78" s="1"/>
  <c r="H132" i="78"/>
  <c r="K132" i="78" s="1"/>
  <c r="G130" i="78"/>
  <c r="J130" i="78" s="1"/>
  <c r="G128" i="78"/>
  <c r="J128" i="78" s="1"/>
  <c r="G126" i="78"/>
  <c r="I114" i="78"/>
  <c r="D111" i="78"/>
  <c r="G111" i="78" s="1"/>
  <c r="J109" i="78"/>
  <c r="L99" i="78"/>
  <c r="G98" i="78"/>
  <c r="M96" i="78"/>
  <c r="L113" i="78" s="1"/>
  <c r="H95" i="78"/>
  <c r="B94" i="78"/>
  <c r="I92" i="78"/>
  <c r="G81" i="78"/>
  <c r="E80" i="78"/>
  <c r="E290" i="78"/>
  <c r="G275" i="78"/>
  <c r="E256" i="78"/>
  <c r="L233" i="78"/>
  <c r="N231" i="78"/>
  <c r="C230" i="78"/>
  <c r="D230" i="78" s="1"/>
  <c r="G228" i="78"/>
  <c r="E219" i="78"/>
  <c r="H216" i="78"/>
  <c r="D195" i="78"/>
  <c r="F186" i="78"/>
  <c r="I186" i="78" s="1"/>
  <c r="K183" i="78"/>
  <c r="F181" i="78"/>
  <c r="I181" i="78" s="1"/>
  <c r="D176" i="78"/>
  <c r="G176" i="78" s="1"/>
  <c r="K162" i="78"/>
  <c r="P160" i="78"/>
  <c r="F159" i="78"/>
  <c r="L157" i="78"/>
  <c r="Q155" i="78"/>
  <c r="G154" i="78"/>
  <c r="L152" i="78"/>
  <c r="P150" i="78"/>
  <c r="H149" i="78"/>
  <c r="Q147" i="78"/>
  <c r="H140" i="78"/>
  <c r="K140" i="78" s="1"/>
  <c r="H138" i="78"/>
  <c r="K138" i="78" s="1"/>
  <c r="H136" i="78"/>
  <c r="K136" i="78" s="1"/>
  <c r="G134" i="78"/>
  <c r="J134" i="78" s="1"/>
  <c r="G132" i="78"/>
  <c r="J132" i="78" s="1"/>
  <c r="F130" i="78"/>
  <c r="F128" i="78"/>
  <c r="F126" i="78"/>
  <c r="D116" i="78"/>
  <c r="G116" i="78" s="1"/>
  <c r="C111" i="78"/>
  <c r="F111" i="78" s="1"/>
  <c r="I109" i="78"/>
  <c r="K99" i="78"/>
  <c r="F98" i="78"/>
  <c r="L96" i="78"/>
  <c r="G95" i="78"/>
  <c r="M93" i="78"/>
  <c r="L110" i="78" s="1"/>
  <c r="H92" i="78"/>
  <c r="F81" i="78"/>
  <c r="L304" i="78"/>
  <c r="D290" i="78"/>
  <c r="F275" i="78"/>
  <c r="D256" i="78"/>
  <c r="J233" i="78"/>
  <c r="M231" i="78"/>
  <c r="P229" i="78"/>
  <c r="D219" i="78"/>
  <c r="G216" i="78"/>
  <c r="E186" i="78"/>
  <c r="H186" i="78" s="1"/>
  <c r="L180" i="78"/>
  <c r="L175" i="78"/>
  <c r="F173" i="78"/>
  <c r="I173" i="78" s="1"/>
  <c r="J162" i="78"/>
  <c r="O160" i="78"/>
  <c r="J157" i="78"/>
  <c r="N155" i="78"/>
  <c r="F154" i="78"/>
  <c r="K152" i="78"/>
  <c r="O150" i="78"/>
  <c r="F149" i="78"/>
  <c r="P147" i="78"/>
  <c r="G140" i="78"/>
  <c r="J140" i="78" s="1"/>
  <c r="G138" i="78"/>
  <c r="J138" i="78" s="1"/>
  <c r="G136" i="78"/>
  <c r="J136" i="78" s="1"/>
  <c r="F134" i="78"/>
  <c r="E132" i="78"/>
  <c r="E130" i="78"/>
  <c r="E128" i="78"/>
  <c r="E126" i="78"/>
  <c r="J117" i="78"/>
  <c r="C116" i="78"/>
  <c r="F116" i="78" s="1"/>
  <c r="I112" i="78"/>
  <c r="B111" i="78"/>
  <c r="E111" i="78" s="1"/>
  <c r="H109" i="78"/>
  <c r="J99" i="78"/>
  <c r="E98" i="78"/>
  <c r="K96" i="78"/>
  <c r="F95" i="78"/>
  <c r="L93" i="78"/>
  <c r="G92" i="78"/>
  <c r="E81" i="78"/>
  <c r="O78" i="78"/>
  <c r="M77" i="78"/>
  <c r="K76" i="78"/>
  <c r="I75" i="78"/>
  <c r="G74" i="78"/>
  <c r="E73" i="78"/>
  <c r="G66" i="78"/>
  <c r="J66" i="78" s="1"/>
  <c r="B63" i="78"/>
  <c r="D61" i="78"/>
  <c r="F59" i="78"/>
  <c r="I59" i="78" s="1"/>
  <c r="G37" i="78"/>
  <c r="F21" i="78"/>
  <c r="F17" i="78"/>
  <c r="H99" i="78"/>
  <c r="D95" i="78"/>
  <c r="M78" i="78"/>
  <c r="G75" i="78"/>
  <c r="B61" i="78"/>
  <c r="G44" i="78"/>
  <c r="J24" i="78"/>
  <c r="G303" i="78"/>
  <c r="I288" i="78"/>
  <c r="K273" i="78"/>
  <c r="I233" i="78"/>
  <c r="J231" i="78"/>
  <c r="M229" i="78"/>
  <c r="C228" i="78"/>
  <c r="G221" i="78"/>
  <c r="J221" i="78" s="1"/>
  <c r="F216" i="78"/>
  <c r="D206" i="78"/>
  <c r="D200" i="78"/>
  <c r="D186" i="78"/>
  <c r="G186" i="78" s="1"/>
  <c r="K180" i="78"/>
  <c r="F178" i="78"/>
  <c r="I178" i="78" s="1"/>
  <c r="E173" i="78"/>
  <c r="H173" i="78" s="1"/>
  <c r="H162" i="78"/>
  <c r="N160" i="78"/>
  <c r="D159" i="78"/>
  <c r="E159" i="78" s="1"/>
  <c r="I157" i="78"/>
  <c r="M155" i="78"/>
  <c r="D154" i="78"/>
  <c r="E154" i="78" s="1"/>
  <c r="H152" i="78"/>
  <c r="N150" i="78"/>
  <c r="O147" i="78"/>
  <c r="F140" i="78"/>
  <c r="F138" i="78"/>
  <c r="E136" i="78"/>
  <c r="E134" i="78"/>
  <c r="D132" i="78"/>
  <c r="D130" i="78"/>
  <c r="D128" i="78"/>
  <c r="D126" i="78"/>
  <c r="I117" i="78"/>
  <c r="H112" i="78"/>
  <c r="I99" i="78"/>
  <c r="D98" i="78"/>
  <c r="J96" i="78"/>
  <c r="E95" i="78"/>
  <c r="K93" i="78"/>
  <c r="F92" i="78"/>
  <c r="D81" i="78"/>
  <c r="B80" i="78"/>
  <c r="C80" i="78" s="1"/>
  <c r="N78" i="78"/>
  <c r="L77" i="78"/>
  <c r="J76" i="78"/>
  <c r="H75" i="78"/>
  <c r="F74" i="78"/>
  <c r="D73" i="78"/>
  <c r="F66" i="78"/>
  <c r="I66" i="78" s="1"/>
  <c r="C61" i="78"/>
  <c r="E59" i="78"/>
  <c r="H59" i="78" s="1"/>
  <c r="G36" i="78"/>
  <c r="L24" i="78"/>
  <c r="L20" i="78"/>
  <c r="L16" i="78"/>
  <c r="C114" i="78"/>
  <c r="F114" i="78" s="1"/>
  <c r="I96" i="78"/>
  <c r="E92" i="78"/>
  <c r="O79" i="78"/>
  <c r="K77" i="78"/>
  <c r="E74" i="78"/>
  <c r="E66" i="78"/>
  <c r="H66" i="78" s="1"/>
  <c r="G64" i="78"/>
  <c r="J64" i="78" s="1"/>
  <c r="D59" i="78"/>
  <c r="J20" i="78"/>
  <c r="J115" i="78"/>
  <c r="F303" i="78"/>
  <c r="H288" i="78"/>
  <c r="J273" i="78"/>
  <c r="H233" i="78"/>
  <c r="I231" i="78"/>
  <c r="L229" i="78"/>
  <c r="F221" i="78"/>
  <c r="I221" i="78" s="1"/>
  <c r="D216" i="78"/>
  <c r="D194" i="78"/>
  <c r="K185" i="78"/>
  <c r="J180" i="78"/>
  <c r="E178" i="78"/>
  <c r="H178" i="78" s="1"/>
  <c r="L172" i="78"/>
  <c r="G162" i="78"/>
  <c r="L160" i="78"/>
  <c r="P158" i="78"/>
  <c r="H157" i="78"/>
  <c r="L155" i="78"/>
  <c r="Q153" i="78"/>
  <c r="G152" i="78"/>
  <c r="L150" i="78"/>
  <c r="D149" i="78"/>
  <c r="E149" i="78" s="1"/>
  <c r="N147" i="78"/>
  <c r="E140" i="78"/>
  <c r="E138" i="78"/>
  <c r="D136" i="78"/>
  <c r="H117" i="78"/>
  <c r="M100" i="78"/>
  <c r="L117" i="78" s="1"/>
  <c r="B98" i="78"/>
  <c r="J93" i="78"/>
  <c r="I76" i="78"/>
  <c r="J16" i="78"/>
  <c r="K301" i="78"/>
  <c r="E272" i="78"/>
  <c r="F249" i="78"/>
  <c r="I249" i="78" s="1"/>
  <c r="E233" i="78"/>
  <c r="H231" i="78"/>
  <c r="J229" i="78"/>
  <c r="E221" i="78"/>
  <c r="H218" i="78"/>
  <c r="K218" i="78" s="1"/>
  <c r="C216" i="78"/>
  <c r="D205" i="78"/>
  <c r="J185" i="78"/>
  <c r="E183" i="78"/>
  <c r="H183" i="78" s="1"/>
  <c r="D178" i="78"/>
  <c r="G178" i="78" s="1"/>
  <c r="K172" i="78"/>
  <c r="F162" i="78"/>
  <c r="K160" i="78"/>
  <c r="O158" i="78"/>
  <c r="F157" i="78"/>
  <c r="J155" i="78"/>
  <c r="P153" i="78"/>
  <c r="F152" i="78"/>
  <c r="K150" i="78"/>
  <c r="Q148" i="78"/>
  <c r="M147" i="78"/>
  <c r="D140" i="78"/>
  <c r="B114" i="78"/>
  <c r="E114" i="78" s="1"/>
  <c r="J110" i="78"/>
  <c r="J301" i="78"/>
  <c r="L286" i="78"/>
  <c r="D272" i="78"/>
  <c r="J247" i="78"/>
  <c r="F231" i="78"/>
  <c r="I229" i="78"/>
  <c r="C221" i="78"/>
  <c r="F218" i="78"/>
  <c r="I218" i="78" s="1"/>
  <c r="D199" i="78"/>
  <c r="D193" i="78"/>
  <c r="D183" i="78"/>
  <c r="G183" i="78" s="1"/>
  <c r="K177" i="78"/>
  <c r="E175" i="78"/>
  <c r="H175" i="78" s="1"/>
  <c r="J172" i="78"/>
  <c r="D162" i="78"/>
  <c r="E162" i="78" s="1"/>
  <c r="H160" i="78"/>
  <c r="N158" i="78"/>
  <c r="I155" i="78"/>
  <c r="N153" i="78"/>
  <c r="D152" i="78"/>
  <c r="E152" i="78" s="1"/>
  <c r="J150" i="78"/>
  <c r="P148" i="78"/>
  <c r="L147" i="78"/>
  <c r="H115" i="78"/>
  <c r="I110" i="78"/>
  <c r="D109" i="78"/>
  <c r="K100" i="78"/>
  <c r="F99" i="78"/>
  <c r="L97" i="78"/>
  <c r="G96" i="78"/>
  <c r="M94" i="78"/>
  <c r="L111" i="78" s="1"/>
  <c r="H93" i="78"/>
  <c r="B92" i="78"/>
  <c r="O80" i="78"/>
  <c r="M79" i="78"/>
  <c r="K78" i="78"/>
  <c r="I77" i="78"/>
  <c r="G76" i="78"/>
  <c r="E75" i="78"/>
  <c r="C66" i="78"/>
  <c r="E64" i="78"/>
  <c r="H64" i="78" s="1"/>
  <c r="G62" i="78"/>
  <c r="J62" i="78" s="1"/>
  <c r="B59" i="78"/>
  <c r="F24" i="78"/>
  <c r="F20" i="78"/>
  <c r="F16" i="78"/>
  <c r="E300" i="78"/>
  <c r="G285" i="78"/>
  <c r="I270" i="78"/>
  <c r="P234" i="78"/>
  <c r="P232" i="78"/>
  <c r="E231" i="78"/>
  <c r="F229" i="78"/>
  <c r="E218" i="78"/>
  <c r="J182" i="78"/>
  <c r="F180" i="78"/>
  <c r="I180" i="78" s="1"/>
  <c r="J177" i="78"/>
  <c r="D175" i="78"/>
  <c r="G175" i="78" s="1"/>
  <c r="Q161" i="78"/>
  <c r="G160" i="78"/>
  <c r="L158" i="78"/>
  <c r="P156" i="78"/>
  <c r="H155" i="78"/>
  <c r="M153" i="78"/>
  <c r="Q151" i="78"/>
  <c r="H150" i="78"/>
  <c r="O148" i="78"/>
  <c r="K147" i="78"/>
  <c r="I135" i="78"/>
  <c r="L135" i="78" s="1"/>
  <c r="I133" i="78"/>
  <c r="L133" i="78" s="1"/>
  <c r="I131" i="78"/>
  <c r="L131" i="78" s="1"/>
  <c r="I129" i="78"/>
  <c r="L129" i="78" s="1"/>
  <c r="I127" i="78"/>
  <c r="L127" i="78" s="1"/>
  <c r="D117" i="78"/>
  <c r="G117" i="78" s="1"/>
  <c r="D112" i="78"/>
  <c r="G112" i="78" s="1"/>
  <c r="H110" i="78"/>
  <c r="C109" i="78"/>
  <c r="J100" i="78"/>
  <c r="D300" i="78"/>
  <c r="F285" i="78"/>
  <c r="H270" i="78"/>
  <c r="O234" i="78"/>
  <c r="O232" i="78"/>
  <c r="E229" i="78"/>
  <c r="H220" i="78"/>
  <c r="K220" i="78" s="1"/>
  <c r="D218" i="78"/>
  <c r="D204" i="78"/>
  <c r="F185" i="78"/>
  <c r="I185" i="78" s="1"/>
  <c r="I296" i="78"/>
  <c r="K283" i="78"/>
  <c r="L245" i="78"/>
  <c r="N234" i="78"/>
  <c r="L232" i="78"/>
  <c r="O230" i="78"/>
  <c r="G220" i="78"/>
  <c r="J220" i="78" s="1"/>
  <c r="D198" i="78"/>
  <c r="E185" i="78"/>
  <c r="H185" i="78" s="1"/>
  <c r="L179" i="78"/>
  <c r="F177" i="78"/>
  <c r="I177" i="78" s="1"/>
  <c r="J174" i="78"/>
  <c r="D172" i="78"/>
  <c r="G172" i="78" s="1"/>
  <c r="N161" i="78"/>
  <c r="D160" i="78"/>
  <c r="E160" i="78" s="1"/>
  <c r="J158" i="78"/>
  <c r="N156" i="78"/>
  <c r="I153" i="78"/>
  <c r="N151" i="78"/>
  <c r="D150" i="78"/>
  <c r="E150" i="78" s="1"/>
  <c r="M148" i="78"/>
  <c r="I147" i="78"/>
  <c r="H141" i="78"/>
  <c r="K141" i="78" s="1"/>
  <c r="H139" i="78"/>
  <c r="K139" i="78" s="1"/>
  <c r="G137" i="78"/>
  <c r="J137" i="78" s="1"/>
  <c r="G135" i="78"/>
  <c r="J135" i="78" s="1"/>
  <c r="G133" i="78"/>
  <c r="J133" i="78" s="1"/>
  <c r="G131" i="78"/>
  <c r="J131" i="78" s="1"/>
  <c r="G129" i="78"/>
  <c r="J129" i="78" s="1"/>
  <c r="F127" i="78"/>
  <c r="I113" i="78"/>
  <c r="B112" i="78"/>
  <c r="E112" i="78" s="1"/>
  <c r="H100" i="78"/>
  <c r="B99" i="78"/>
  <c r="I97" i="78"/>
  <c r="D96" i="78"/>
  <c r="J94" i="78"/>
  <c r="E93" i="78"/>
  <c r="H296" i="78"/>
  <c r="J283" i="78"/>
  <c r="D269" i="78"/>
  <c r="K245" i="78"/>
  <c r="L234" i="78"/>
  <c r="K232" i="78"/>
  <c r="N230" i="78"/>
  <c r="P228" i="78"/>
  <c r="F220" i="78"/>
  <c r="I220" i="78" s="1"/>
  <c r="L184" i="78"/>
  <c r="F182" i="78"/>
  <c r="I182" i="78" s="1"/>
  <c r="K179" i="78"/>
  <c r="E177" i="78"/>
  <c r="H177" i="78" s="1"/>
  <c r="L171" i="78"/>
  <c r="M161" i="78"/>
  <c r="Q159" i="78"/>
  <c r="H158" i="78"/>
  <c r="L156" i="78"/>
  <c r="D155" i="78"/>
  <c r="E155" i="78" s="1"/>
  <c r="H153" i="78"/>
  <c r="M151" i="78"/>
  <c r="Q149" i="78"/>
  <c r="L148" i="78"/>
  <c r="H147" i="78"/>
  <c r="G141" i="78"/>
  <c r="J141" i="78" s="1"/>
  <c r="F139" i="78"/>
  <c r="F137" i="78"/>
  <c r="F135" i="78"/>
  <c r="F133" i="78"/>
  <c r="F131" i="78"/>
  <c r="F129" i="78"/>
  <c r="E127" i="78"/>
  <c r="D115" i="78"/>
  <c r="G115" i="78" s="1"/>
  <c r="H113" i="78"/>
  <c r="G100" i="78"/>
  <c r="M98" i="78"/>
  <c r="L115" i="78" s="1"/>
  <c r="H97" i="78"/>
  <c r="B96" i="78"/>
  <c r="I94" i="78"/>
  <c r="D93" i="78"/>
  <c r="M81" i="78"/>
  <c r="K80" i="78"/>
  <c r="I79" i="78"/>
  <c r="G78" i="78"/>
  <c r="E77" i="78"/>
  <c r="O74" i="78"/>
  <c r="M73" i="78"/>
  <c r="C62" i="78"/>
  <c r="E60" i="78"/>
  <c r="H60" i="78" s="1"/>
  <c r="G58" i="78"/>
  <c r="G41" i="78"/>
  <c r="F23" i="78"/>
  <c r="F19" i="78"/>
  <c r="E282" i="78"/>
  <c r="J245" i="78"/>
  <c r="K234" i="78"/>
  <c r="J232" i="78"/>
  <c r="L230" i="78"/>
  <c r="O228" i="78"/>
  <c r="D220" i="78"/>
  <c r="D203" i="78"/>
  <c r="D197" i="78"/>
  <c r="K184" i="78"/>
  <c r="E182" i="78"/>
  <c r="H182" i="78" s="1"/>
  <c r="L176" i="78"/>
  <c r="K171" i="78"/>
  <c r="J161" i="78"/>
  <c r="P159" i="78"/>
  <c r="G158" i="78"/>
  <c r="K156" i="78"/>
  <c r="P154" i="78"/>
  <c r="F153" i="78"/>
  <c r="L151" i="78"/>
  <c r="P149" i="78"/>
  <c r="K148" i="78"/>
  <c r="F147" i="78"/>
  <c r="F141" i="78"/>
  <c r="E139" i="78"/>
  <c r="E137" i="78"/>
  <c r="E135" i="78"/>
  <c r="E133" i="78"/>
  <c r="E131" i="78"/>
  <c r="D129" i="78"/>
  <c r="G42" i="78"/>
  <c r="F65" i="78"/>
  <c r="I65" i="78" s="1"/>
  <c r="J78" i="78"/>
  <c r="K94" i="78"/>
  <c r="G150" i="78"/>
  <c r="E222" i="78"/>
  <c r="F60" i="78"/>
  <c r="I60" i="78" s="1"/>
  <c r="F63" i="78"/>
  <c r="I63" i="78" s="1"/>
  <c r="B66" i="78"/>
  <c r="K73" i="78"/>
  <c r="J75" i="78"/>
  <c r="F77" i="78"/>
  <c r="E79" i="78"/>
  <c r="D92" i="78"/>
  <c r="K95" i="78"/>
  <c r="L98" i="78"/>
  <c r="B110" i="78"/>
  <c r="E110" i="78" s="1"/>
  <c r="B115" i="78"/>
  <c r="E115" i="78" s="1"/>
  <c r="I126" i="78"/>
  <c r="H133" i="78"/>
  <c r="K133" i="78" s="1"/>
  <c r="P151" i="78"/>
  <c r="J181" i="78"/>
  <c r="E244" i="78"/>
  <c r="H244" i="78" s="1"/>
  <c r="H16" i="78"/>
  <c r="G60" i="78"/>
  <c r="J60" i="78" s="1"/>
  <c r="G63" i="78"/>
  <c r="J63" i="78" s="1"/>
  <c r="L73" i="78"/>
  <c r="J17" i="78"/>
  <c r="L22" i="78"/>
  <c r="G35" i="78"/>
  <c r="D58" i="78"/>
  <c r="O73" i="78"/>
  <c r="N75" i="78"/>
  <c r="J77" i="78"/>
  <c r="H79" i="78"/>
  <c r="K81" i="78"/>
  <c r="M92" i="78"/>
  <c r="E96" i="78"/>
  <c r="G99" i="78"/>
  <c r="D127" i="78"/>
  <c r="D135" i="78"/>
  <c r="N159" i="78"/>
  <c r="H230" i="78"/>
  <c r="L17" i="78"/>
  <c r="H23" i="78"/>
  <c r="E58" i="78"/>
  <c r="E61" i="78"/>
  <c r="H61" i="78" s="1"/>
  <c r="B64" i="78"/>
  <c r="B74" i="78"/>
  <c r="C74" i="78" s="1"/>
  <c r="O75" i="78"/>
  <c r="N77" i="78"/>
  <c r="J79" i="78"/>
  <c r="L81" i="78"/>
  <c r="B93" i="78"/>
  <c r="F96" i="78"/>
  <c r="B100" i="78"/>
  <c r="H116" i="78"/>
  <c r="H127" i="78"/>
  <c r="K127" i="78" s="1"/>
  <c r="H135" i="78"/>
  <c r="K135" i="78" s="1"/>
  <c r="J147" i="78"/>
  <c r="J153" i="78"/>
  <c r="F160" i="78"/>
  <c r="K173" i="78"/>
  <c r="F184" i="78"/>
  <c r="I184" i="78" s="1"/>
  <c r="K230" i="78"/>
  <c r="H21" i="78"/>
  <c r="H31" i="78"/>
  <c r="B60" i="78"/>
  <c r="G65" i="78"/>
  <c r="J65" i="78" s="1"/>
  <c r="G73" i="78"/>
  <c r="B77" i="78"/>
  <c r="C77" i="78" s="1"/>
  <c r="L78" i="78"/>
  <c r="L80" i="78"/>
  <c r="L94" i="78"/>
  <c r="I98" i="78"/>
  <c r="J113" i="78"/>
  <c r="F151" i="78"/>
  <c r="P157" i="78"/>
  <c r="E179" i="78"/>
  <c r="H179" i="78" s="1"/>
  <c r="D202" i="78"/>
  <c r="F222" i="78"/>
  <c r="I222" i="78" s="1"/>
  <c r="J31" i="78"/>
  <c r="C60" i="78"/>
  <c r="I73" i="78"/>
  <c r="B79" i="78"/>
  <c r="C79" i="78" s="1"/>
  <c r="M80" i="78"/>
  <c r="B95" i="78"/>
  <c r="I151" i="78"/>
  <c r="Q157" i="78"/>
  <c r="L243" i="78"/>
  <c r="B81" i="78"/>
  <c r="C81" i="78" s="1"/>
  <c r="L228" i="78"/>
  <c r="H22" i="78"/>
  <c r="F18" i="78"/>
  <c r="J23" i="78"/>
  <c r="G38" i="78"/>
  <c r="F58" i="78"/>
  <c r="F61" i="78"/>
  <c r="I61" i="78" s="1"/>
  <c r="C64" i="78"/>
  <c r="D74" i="78"/>
  <c r="B76" i="78"/>
  <c r="C76" i="78" s="1"/>
  <c r="O77" i="78"/>
  <c r="K79" i="78"/>
  <c r="N81" i="78"/>
  <c r="F93" i="78"/>
  <c r="H96" i="78"/>
  <c r="D100" i="78"/>
  <c r="H111" i="78"/>
  <c r="I116" i="78"/>
  <c r="I128" i="78"/>
  <c r="L128" i="78" s="1"/>
  <c r="G148" i="78"/>
  <c r="K154" i="78"/>
  <c r="F161" i="78"/>
  <c r="E174" i="78"/>
  <c r="H174" i="78" s="1"/>
  <c r="F232" i="78"/>
  <c r="H18" i="78"/>
  <c r="L23" i="78"/>
  <c r="D64" i="78"/>
  <c r="H74" i="78"/>
  <c r="D76" i="78"/>
  <c r="L79" i="78"/>
  <c r="O81" i="78"/>
  <c r="G93" i="78"/>
  <c r="D97" i="78"/>
  <c r="E100" i="78"/>
  <c r="J111" i="78"/>
  <c r="J116" i="78"/>
  <c r="H148" i="78"/>
  <c r="L154" i="78"/>
  <c r="H161" i="78"/>
  <c r="F174" i="78"/>
  <c r="I174" i="78" s="1"/>
  <c r="C217" i="78"/>
  <c r="G232" i="78"/>
  <c r="J18" i="78"/>
  <c r="H24" i="78"/>
  <c r="G39" i="78"/>
  <c r="F64" i="78"/>
  <c r="I64" i="78" s="1"/>
  <c r="I74" i="78"/>
  <c r="E76" i="78"/>
  <c r="D78" i="78"/>
  <c r="N79" i="78"/>
  <c r="I93" i="78"/>
  <c r="E97" i="78"/>
  <c r="F100" i="78"/>
  <c r="B117" i="78"/>
  <c r="E117" i="78" s="1"/>
  <c r="D137" i="78"/>
  <c r="J148" i="78"/>
  <c r="O154" i="78"/>
  <c r="I161" i="78"/>
  <c r="L174" i="78"/>
  <c r="L186" i="78"/>
  <c r="F217" i="78"/>
  <c r="I217" i="78" s="1"/>
  <c r="H232" i="78"/>
  <c r="L18" i="78"/>
  <c r="K39" i="78"/>
  <c r="K74" i="78"/>
  <c r="F76" i="78"/>
  <c r="E78" i="78"/>
  <c r="D80" i="78"/>
  <c r="E94" i="78"/>
  <c r="F97" i="78"/>
  <c r="I100" i="78"/>
  <c r="C112" i="78"/>
  <c r="F112" i="78" s="1"/>
  <c r="H129" i="78"/>
  <c r="K129" i="78" s="1"/>
  <c r="H137" i="78"/>
  <c r="K137" i="78" s="1"/>
  <c r="N148" i="78"/>
  <c r="F155" i="78"/>
  <c r="P161" i="78"/>
  <c r="G217" i="78"/>
  <c r="J217" i="78" s="1"/>
  <c r="D282" i="78"/>
  <c r="H19" i="78"/>
  <c r="G40" i="78"/>
  <c r="C59" i="78"/>
  <c r="B62" i="78"/>
  <c r="B65" i="78"/>
  <c r="L74" i="78"/>
  <c r="H76" i="78"/>
  <c r="F78" i="78"/>
  <c r="G80" i="78"/>
  <c r="F94" i="78"/>
  <c r="G97" i="78"/>
  <c r="L100" i="78"/>
  <c r="D113" i="78"/>
  <c r="G113" i="78" s="1"/>
  <c r="L149" i="78"/>
  <c r="G156" i="78"/>
  <c r="P162" i="78"/>
  <c r="J176" i="78"/>
  <c r="F234" i="78"/>
  <c r="F293" i="78"/>
  <c r="J19" i="78"/>
  <c r="K40" i="78"/>
  <c r="G59" i="78"/>
  <c r="J59" i="78" s="1"/>
  <c r="D62" i="78"/>
  <c r="D65" i="78"/>
  <c r="M74" i="78"/>
  <c r="L76" i="78"/>
  <c r="H78" i="78"/>
  <c r="H80" i="78"/>
  <c r="G94" i="78"/>
  <c r="J97" i="78"/>
  <c r="M149" i="78"/>
  <c r="H156" i="78"/>
  <c r="K176" i="78"/>
  <c r="D196" i="78"/>
  <c r="J234" i="78"/>
  <c r="G293" i="78"/>
  <c r="L19" i="78"/>
  <c r="K41" i="78"/>
  <c r="E62" i="78"/>
  <c r="H62" i="78" s="1"/>
  <c r="E65" i="78"/>
  <c r="H65" i="78" s="1"/>
  <c r="B73" i="78"/>
  <c r="N74" i="78"/>
  <c r="M76" i="78"/>
  <c r="I78" i="78"/>
  <c r="I80" i="78"/>
  <c r="H94" i="78"/>
  <c r="K97" i="78"/>
  <c r="D131" i="78"/>
  <c r="D139" i="78"/>
  <c r="N149" i="78"/>
  <c r="J156" i="78"/>
  <c r="C220" i="78"/>
  <c r="L294" i="78"/>
  <c r="B10" i="77"/>
  <c r="B9" i="77"/>
  <c r="B10" i="76"/>
  <c r="B9" i="76"/>
  <c r="B10" i="75"/>
  <c r="H18" i="75" s="1"/>
  <c r="B9" i="75"/>
  <c r="K114" i="78" l="1"/>
  <c r="K112" i="78"/>
  <c r="K112" i="79"/>
  <c r="K110" i="78"/>
  <c r="E307" i="78"/>
  <c r="K115" i="79"/>
  <c r="J20" i="75"/>
  <c r="F21" i="75"/>
  <c r="J24" i="75"/>
  <c r="F16" i="75"/>
  <c r="J19" i="75"/>
  <c r="F20" i="75"/>
  <c r="J16" i="75"/>
  <c r="J18" i="75"/>
  <c r="F19" i="75"/>
  <c r="J17" i="75"/>
  <c r="F18" i="75"/>
  <c r="F17" i="75"/>
  <c r="H20" i="75"/>
  <c r="F24" i="75"/>
  <c r="J22" i="75"/>
  <c r="F23" i="75"/>
  <c r="H22" i="75"/>
  <c r="H21" i="75"/>
  <c r="H16" i="75"/>
  <c r="J21" i="75"/>
  <c r="F22" i="75"/>
  <c r="H17" i="75"/>
  <c r="J23" i="75"/>
  <c r="K116" i="79"/>
  <c r="D293" i="79"/>
  <c r="D297" i="79" s="1"/>
  <c r="F249" i="79"/>
  <c r="I249" i="79" s="1"/>
  <c r="E293" i="79"/>
  <c r="M293" i="79" s="1"/>
  <c r="C229" i="79"/>
  <c r="D229" i="79" s="1"/>
  <c r="K246" i="79"/>
  <c r="K250" i="79" s="1"/>
  <c r="N81" i="79"/>
  <c r="H24" i="75"/>
  <c r="K184" i="79"/>
  <c r="K187" i="79" s="1"/>
  <c r="D244" i="79"/>
  <c r="G244" i="79" s="1"/>
  <c r="D275" i="79"/>
  <c r="D278" i="79" s="1"/>
  <c r="H301" i="79"/>
  <c r="H307" i="79" s="1"/>
  <c r="G270" i="79"/>
  <c r="G278" i="79" s="1"/>
  <c r="I301" i="79"/>
  <c r="C112" i="79"/>
  <c r="F112" i="79" s="1"/>
  <c r="M161" i="79"/>
  <c r="M163" i="79" s="1"/>
  <c r="N73" i="79"/>
  <c r="H23" i="75"/>
  <c r="H19" i="75"/>
  <c r="J276" i="79"/>
  <c r="J278" i="79" s="1"/>
  <c r="D303" i="79"/>
  <c r="D307" i="79" s="1"/>
  <c r="I273" i="79"/>
  <c r="M273" i="79" s="1"/>
  <c r="E303" i="79"/>
  <c r="E307" i="79" s="1"/>
  <c r="E93" i="79"/>
  <c r="E101" i="79" s="1"/>
  <c r="K148" i="79"/>
  <c r="K163" i="79" s="1"/>
  <c r="K41" i="79"/>
  <c r="L281" i="79"/>
  <c r="M281" i="79" s="1"/>
  <c r="J304" i="79"/>
  <c r="J307" i="79" s="1"/>
  <c r="E275" i="79"/>
  <c r="E278" i="79" s="1"/>
  <c r="K304" i="79"/>
  <c r="K307" i="79" s="1"/>
  <c r="B75" i="79"/>
  <c r="C75" i="79" s="1"/>
  <c r="P149" i="79"/>
  <c r="P163" i="79" s="1"/>
  <c r="L161" i="79"/>
  <c r="L163" i="79" s="1"/>
  <c r="H283" i="79"/>
  <c r="M283" i="79" s="1"/>
  <c r="F306" i="79"/>
  <c r="F307" i="79" s="1"/>
  <c r="K276" i="79"/>
  <c r="K278" i="79" s="1"/>
  <c r="G306" i="79"/>
  <c r="G307" i="79" s="1"/>
  <c r="E261" i="79"/>
  <c r="G261" i="79" s="1"/>
  <c r="J148" i="79"/>
  <c r="J163" i="79" s="1"/>
  <c r="H128" i="79"/>
  <c r="K128" i="79" s="1"/>
  <c r="K117" i="78"/>
  <c r="K110" i="79"/>
  <c r="M277" i="79"/>
  <c r="L250" i="78"/>
  <c r="M274" i="79"/>
  <c r="M302" i="79"/>
  <c r="F278" i="79"/>
  <c r="F142" i="79"/>
  <c r="E82" i="79"/>
  <c r="E142" i="79"/>
  <c r="M292" i="79"/>
  <c r="M272" i="79"/>
  <c r="G45" i="79"/>
  <c r="M291" i="79"/>
  <c r="C223" i="79"/>
  <c r="M289" i="78"/>
  <c r="M271" i="78"/>
  <c r="M282" i="78"/>
  <c r="G200" i="79"/>
  <c r="F200" i="79"/>
  <c r="K216" i="79"/>
  <c r="H223" i="79"/>
  <c r="K223" i="79" s="1"/>
  <c r="B67" i="79"/>
  <c r="K101" i="79"/>
  <c r="H243" i="79"/>
  <c r="E250" i="79"/>
  <c r="H250" i="79" s="1"/>
  <c r="F163" i="79"/>
  <c r="H307" i="78"/>
  <c r="M290" i="79"/>
  <c r="D82" i="79"/>
  <c r="F223" i="79"/>
  <c r="I223" i="79" s="1"/>
  <c r="I216" i="79"/>
  <c r="I243" i="79"/>
  <c r="M289" i="79"/>
  <c r="E223" i="79"/>
  <c r="M269" i="79"/>
  <c r="F235" i="79"/>
  <c r="J82" i="79"/>
  <c r="K235" i="79"/>
  <c r="M287" i="79"/>
  <c r="L250" i="79"/>
  <c r="G101" i="79"/>
  <c r="G196" i="79"/>
  <c r="F196" i="79"/>
  <c r="O235" i="79"/>
  <c r="M294" i="79"/>
  <c r="M285" i="79"/>
  <c r="P235" i="79"/>
  <c r="M276" i="78"/>
  <c r="F109" i="79"/>
  <c r="K109" i="79"/>
  <c r="B101" i="79"/>
  <c r="I118" i="79"/>
  <c r="H82" i="79"/>
  <c r="D187" i="79"/>
  <c r="G187" i="79" s="1"/>
  <c r="G171" i="79"/>
  <c r="F67" i="79"/>
  <c r="I67" i="79" s="1"/>
  <c r="I58" i="79"/>
  <c r="N163" i="79"/>
  <c r="G195" i="79"/>
  <c r="F195" i="79"/>
  <c r="M235" i="79"/>
  <c r="M300" i="79"/>
  <c r="C73" i="79"/>
  <c r="J25" i="79"/>
  <c r="M282" i="79"/>
  <c r="K117" i="79"/>
  <c r="E67" i="79"/>
  <c r="H58" i="79"/>
  <c r="L307" i="79"/>
  <c r="G199" i="79"/>
  <c r="F199" i="79"/>
  <c r="F256" i="79"/>
  <c r="D263" i="79"/>
  <c r="B118" i="79"/>
  <c r="E118" i="79" s="1"/>
  <c r="F82" i="79"/>
  <c r="I101" i="79"/>
  <c r="C67" i="79"/>
  <c r="Q163" i="79"/>
  <c r="J235" i="79"/>
  <c r="G243" i="79"/>
  <c r="G203" i="79"/>
  <c r="F203" i="79"/>
  <c r="K297" i="79"/>
  <c r="F25" i="79"/>
  <c r="I297" i="79"/>
  <c r="K111" i="79"/>
  <c r="G235" i="79"/>
  <c r="M296" i="79"/>
  <c r="M295" i="79"/>
  <c r="H278" i="79"/>
  <c r="M271" i="79"/>
  <c r="G207" i="79"/>
  <c r="F207" i="79"/>
  <c r="F187" i="79"/>
  <c r="I187" i="79" s="1"/>
  <c r="I171" i="79"/>
  <c r="L82" i="78"/>
  <c r="G307" i="78"/>
  <c r="M284" i="78"/>
  <c r="K126" i="79"/>
  <c r="O163" i="79"/>
  <c r="K82" i="79"/>
  <c r="L82" i="79"/>
  <c r="K113" i="79"/>
  <c r="D209" i="79"/>
  <c r="G193" i="79"/>
  <c r="F193" i="79"/>
  <c r="E209" i="79"/>
  <c r="D223" i="79"/>
  <c r="G198" i="79"/>
  <c r="F198" i="79"/>
  <c r="F101" i="79"/>
  <c r="H118" i="79"/>
  <c r="G206" i="79"/>
  <c r="F206" i="79"/>
  <c r="I82" i="79"/>
  <c r="G197" i="79"/>
  <c r="F197" i="79"/>
  <c r="L278" i="79"/>
  <c r="O82" i="79"/>
  <c r="K116" i="78"/>
  <c r="G204" i="79"/>
  <c r="F204" i="79"/>
  <c r="H163" i="79"/>
  <c r="L25" i="79"/>
  <c r="J216" i="79"/>
  <c r="G223" i="79"/>
  <c r="J223" i="79" s="1"/>
  <c r="H235" i="79"/>
  <c r="L101" i="79"/>
  <c r="G201" i="79"/>
  <c r="F201" i="79"/>
  <c r="L235" i="79"/>
  <c r="O235" i="78"/>
  <c r="D118" i="79"/>
  <c r="G118" i="79" s="1"/>
  <c r="G109" i="79"/>
  <c r="M288" i="79"/>
  <c r="M284" i="79"/>
  <c r="G205" i="79"/>
  <c r="F205" i="79"/>
  <c r="F297" i="79"/>
  <c r="G163" i="79"/>
  <c r="D163" i="79"/>
  <c r="E147" i="79"/>
  <c r="G256" i="79"/>
  <c r="D228" i="79"/>
  <c r="J118" i="79"/>
  <c r="J101" i="79"/>
  <c r="F32" i="79"/>
  <c r="H32" i="79"/>
  <c r="J32" i="79"/>
  <c r="J58" i="79"/>
  <c r="G67" i="79"/>
  <c r="J67" i="79" s="1"/>
  <c r="J187" i="79"/>
  <c r="M305" i="79"/>
  <c r="I235" i="79"/>
  <c r="G82" i="78"/>
  <c r="M290" i="78"/>
  <c r="M292" i="78"/>
  <c r="H25" i="79"/>
  <c r="D101" i="79"/>
  <c r="N235" i="79"/>
  <c r="P235" i="78"/>
  <c r="L187" i="79"/>
  <c r="H101" i="79"/>
  <c r="D67" i="79"/>
  <c r="G202" i="79"/>
  <c r="F202" i="79"/>
  <c r="D142" i="79"/>
  <c r="G142" i="79"/>
  <c r="J142" i="79" s="1"/>
  <c r="J126" i="79"/>
  <c r="E235" i="79"/>
  <c r="M286" i="79"/>
  <c r="G297" i="79"/>
  <c r="E187" i="79"/>
  <c r="H187" i="79" s="1"/>
  <c r="H171" i="79"/>
  <c r="L126" i="79"/>
  <c r="I142" i="79"/>
  <c r="L142" i="79" s="1"/>
  <c r="J297" i="79"/>
  <c r="I163" i="79"/>
  <c r="G194" i="79"/>
  <c r="F194" i="79"/>
  <c r="G82" i="79"/>
  <c r="K114" i="79"/>
  <c r="L109" i="79"/>
  <c r="M101" i="79"/>
  <c r="L118" i="79" s="1"/>
  <c r="F208" i="79"/>
  <c r="G208" i="79"/>
  <c r="M82" i="79"/>
  <c r="J250" i="79"/>
  <c r="N163" i="78"/>
  <c r="F223" i="78"/>
  <c r="I223" i="78" s="1"/>
  <c r="I216" i="78"/>
  <c r="H278" i="78"/>
  <c r="H297" i="78"/>
  <c r="M285" i="78"/>
  <c r="F101" i="78"/>
  <c r="O163" i="78"/>
  <c r="P163" i="78"/>
  <c r="F142" i="78"/>
  <c r="E209" i="78"/>
  <c r="M286" i="78"/>
  <c r="M283" i="78"/>
  <c r="M235" i="78"/>
  <c r="K235" i="78"/>
  <c r="F197" i="78"/>
  <c r="G197" i="78"/>
  <c r="L187" i="78"/>
  <c r="K82" i="78"/>
  <c r="G203" i="78"/>
  <c r="F203" i="78"/>
  <c r="F163" i="78"/>
  <c r="G109" i="78"/>
  <c r="D118" i="78"/>
  <c r="G118" i="78" s="1"/>
  <c r="F193" i="78"/>
  <c r="G193" i="78"/>
  <c r="D209" i="78"/>
  <c r="L25" i="78"/>
  <c r="C235" i="78"/>
  <c r="D228" i="78"/>
  <c r="F201" i="78"/>
  <c r="G201" i="78"/>
  <c r="J235" i="78"/>
  <c r="M287" i="78"/>
  <c r="J278" i="78"/>
  <c r="I235" i="78"/>
  <c r="H25" i="78"/>
  <c r="G199" i="78"/>
  <c r="F199" i="78"/>
  <c r="D263" i="78"/>
  <c r="F256" i="78"/>
  <c r="I101" i="78"/>
  <c r="F207" i="78"/>
  <c r="G207" i="78"/>
  <c r="J187" i="78"/>
  <c r="F278" i="78"/>
  <c r="H243" i="78"/>
  <c r="E250" i="78"/>
  <c r="H250" i="78" s="1"/>
  <c r="M296" i="78"/>
  <c r="K297" i="78"/>
  <c r="D163" i="78"/>
  <c r="E147" i="78"/>
  <c r="H118" i="78"/>
  <c r="K111" i="78"/>
  <c r="G297" i="78"/>
  <c r="F187" i="78"/>
  <c r="I187" i="78" s="1"/>
  <c r="I171" i="78"/>
  <c r="L163" i="78"/>
  <c r="H235" i="78"/>
  <c r="M281" i="78"/>
  <c r="D297" i="78"/>
  <c r="M270" i="78"/>
  <c r="M293" i="78"/>
  <c r="M101" i="78"/>
  <c r="L118" i="78" s="1"/>
  <c r="L109" i="78"/>
  <c r="M294" i="78"/>
  <c r="M291" i="78"/>
  <c r="I297" i="78"/>
  <c r="K101" i="78"/>
  <c r="H163" i="78"/>
  <c r="J25" i="78"/>
  <c r="E82" i="78"/>
  <c r="G195" i="78"/>
  <c r="F195" i="78"/>
  <c r="J101" i="78"/>
  <c r="M295" i="78"/>
  <c r="E235" i="78"/>
  <c r="E297" i="78"/>
  <c r="M306" i="78"/>
  <c r="K250" i="78"/>
  <c r="L101" i="78"/>
  <c r="I82" i="78"/>
  <c r="C73" i="78"/>
  <c r="B82" i="78"/>
  <c r="L126" i="78"/>
  <c r="I142" i="78"/>
  <c r="L142" i="78" s="1"/>
  <c r="K113" i="78"/>
  <c r="K163" i="78"/>
  <c r="H101" i="78"/>
  <c r="K216" i="78"/>
  <c r="H223" i="78"/>
  <c r="K223" i="78" s="1"/>
  <c r="F235" i="78"/>
  <c r="K278" i="78"/>
  <c r="L307" i="78"/>
  <c r="G163" i="78"/>
  <c r="F82" i="78"/>
  <c r="M272" i="78"/>
  <c r="D82" i="78"/>
  <c r="D142" i="78"/>
  <c r="E142" i="78"/>
  <c r="Q163" i="78"/>
  <c r="J118" i="78"/>
  <c r="E278" i="78"/>
  <c r="F307" i="78"/>
  <c r="G278" i="78"/>
  <c r="M303" i="78"/>
  <c r="F67" i="78"/>
  <c r="I67" i="78" s="1"/>
  <c r="I58" i="78"/>
  <c r="K115" i="78"/>
  <c r="G235" i="78"/>
  <c r="M302" i="78"/>
  <c r="M304" i="78"/>
  <c r="M301" i="78"/>
  <c r="J297" i="78"/>
  <c r="F32" i="78"/>
  <c r="J32" i="78"/>
  <c r="H32" i="78"/>
  <c r="F202" i="78"/>
  <c r="G202" i="78"/>
  <c r="O82" i="78"/>
  <c r="D278" i="78"/>
  <c r="M269" i="78"/>
  <c r="K109" i="78"/>
  <c r="B101" i="78"/>
  <c r="B67" i="78"/>
  <c r="E187" i="78"/>
  <c r="H187" i="78" s="1"/>
  <c r="H171" i="78"/>
  <c r="D67" i="78"/>
  <c r="K187" i="78"/>
  <c r="G67" i="78"/>
  <c r="J67" i="78" s="1"/>
  <c r="J58" i="78"/>
  <c r="G198" i="78"/>
  <c r="F198" i="78"/>
  <c r="G142" i="78"/>
  <c r="J142" i="78" s="1"/>
  <c r="J126" i="78"/>
  <c r="M305" i="78"/>
  <c r="M274" i="78"/>
  <c r="I243" i="78"/>
  <c r="F250" i="78"/>
  <c r="I250" i="78" s="1"/>
  <c r="M273" i="78"/>
  <c r="J250" i="78"/>
  <c r="M275" i="78"/>
  <c r="N82" i="78"/>
  <c r="J82" i="78"/>
  <c r="G204" i="78"/>
  <c r="F204" i="78"/>
  <c r="E67" i="78"/>
  <c r="H58" i="78"/>
  <c r="M300" i="78"/>
  <c r="D307" i="78"/>
  <c r="F205" i="78"/>
  <c r="G205" i="78"/>
  <c r="I307" i="78"/>
  <c r="C67" i="78"/>
  <c r="N235" i="78"/>
  <c r="G45" i="78"/>
  <c r="D101" i="78"/>
  <c r="I163" i="78"/>
  <c r="F25" i="78"/>
  <c r="C223" i="78"/>
  <c r="G194" i="78"/>
  <c r="F194" i="78"/>
  <c r="G200" i="78"/>
  <c r="F200" i="78"/>
  <c r="G101" i="78"/>
  <c r="J216" i="78"/>
  <c r="G223" i="78"/>
  <c r="J223" i="78" s="1"/>
  <c r="I118" i="78"/>
  <c r="E263" i="78"/>
  <c r="G256" i="78"/>
  <c r="D187" i="78"/>
  <c r="G187" i="78" s="1"/>
  <c r="G171" i="78"/>
  <c r="M277" i="78"/>
  <c r="G243" i="78"/>
  <c r="D250" i="78"/>
  <c r="G250" i="78" s="1"/>
  <c r="F297" i="78"/>
  <c r="M288" i="78"/>
  <c r="E223" i="78"/>
  <c r="L297" i="78"/>
  <c r="G208" i="78"/>
  <c r="F208" i="78"/>
  <c r="B118" i="78"/>
  <c r="E118" i="78" s="1"/>
  <c r="E109" i="78"/>
  <c r="F196" i="78"/>
  <c r="G196" i="78"/>
  <c r="L235" i="78"/>
  <c r="J163" i="78"/>
  <c r="M82" i="78"/>
  <c r="F109" i="78"/>
  <c r="C118" i="78"/>
  <c r="F118" i="78" s="1"/>
  <c r="M163" i="78"/>
  <c r="D223" i="78"/>
  <c r="E101" i="78"/>
  <c r="G206" i="78"/>
  <c r="F206" i="78"/>
  <c r="H82" i="78"/>
  <c r="H142" i="78"/>
  <c r="K142" i="78" s="1"/>
  <c r="K126" i="78"/>
  <c r="I278" i="78"/>
  <c r="J307" i="78"/>
  <c r="K307" i="78"/>
  <c r="L278" i="78"/>
  <c r="G306" i="77"/>
  <c r="K304" i="77"/>
  <c r="E303" i="77"/>
  <c r="I301" i="77"/>
  <c r="G296" i="77"/>
  <c r="K294" i="77"/>
  <c r="E293" i="77"/>
  <c r="I291" i="77"/>
  <c r="G288" i="77"/>
  <c r="K286" i="77"/>
  <c r="E285" i="77"/>
  <c r="I283" i="77"/>
  <c r="K276" i="77"/>
  <c r="E275" i="77"/>
  <c r="F306" i="77"/>
  <c r="J304" i="77"/>
  <c r="D303" i="77"/>
  <c r="H301" i="77"/>
  <c r="F296" i="77"/>
  <c r="J294" i="77"/>
  <c r="D293" i="77"/>
  <c r="H291" i="77"/>
  <c r="L289" i="77"/>
  <c r="F288" i="77"/>
  <c r="J286" i="77"/>
  <c r="D285" i="77"/>
  <c r="H283" i="77"/>
  <c r="L281" i="77"/>
  <c r="J276" i="77"/>
  <c r="D275" i="77"/>
  <c r="H273" i="77"/>
  <c r="L271" i="77"/>
  <c r="F270" i="77"/>
  <c r="E249" i="77"/>
  <c r="H249" i="77" s="1"/>
  <c r="K243" i="77"/>
  <c r="I234" i="77"/>
  <c r="G233" i="77"/>
  <c r="E232" i="77"/>
  <c r="C231" i="77"/>
  <c r="D231" i="77" s="1"/>
  <c r="O229" i="77"/>
  <c r="M228" i="77"/>
  <c r="H221" i="77"/>
  <c r="K221" i="77" s="1"/>
  <c r="C218" i="77"/>
  <c r="E216" i="77"/>
  <c r="E207" i="77"/>
  <c r="E203" i="77"/>
  <c r="E199" i="77"/>
  <c r="E195" i="77"/>
  <c r="J183" i="77"/>
  <c r="L181" i="77"/>
  <c r="E180" i="77"/>
  <c r="H180" i="77" s="1"/>
  <c r="K174" i="77"/>
  <c r="D173" i="77"/>
  <c r="G173" i="77" s="1"/>
  <c r="F171" i="77"/>
  <c r="Q160" i="77"/>
  <c r="O159" i="77"/>
  <c r="M158" i="77"/>
  <c r="K157" i="77"/>
  <c r="I156" i="77"/>
  <c r="G155" i="77"/>
  <c r="Q152" i="77"/>
  <c r="O151" i="77"/>
  <c r="M150" i="77"/>
  <c r="K149" i="77"/>
  <c r="I148" i="77"/>
  <c r="G147" i="77"/>
  <c r="I141" i="77"/>
  <c r="L141" i="77" s="1"/>
  <c r="D138" i="77"/>
  <c r="F136" i="77"/>
  <c r="H134" i="77"/>
  <c r="K134" i="77" s="1"/>
  <c r="E129" i="77"/>
  <c r="G127" i="77"/>
  <c r="J127" i="77" s="1"/>
  <c r="B116" i="77"/>
  <c r="E116" i="77" s="1"/>
  <c r="H114" i="77"/>
  <c r="C113" i="77"/>
  <c r="F113" i="77" s="1"/>
  <c r="I111" i="77"/>
  <c r="L305" i="77"/>
  <c r="F304" i="77"/>
  <c r="J302" i="77"/>
  <c r="D301" i="77"/>
  <c r="L295" i="77"/>
  <c r="F294" i="77"/>
  <c r="J292" i="77"/>
  <c r="D291" i="77"/>
  <c r="H289" i="77"/>
  <c r="L287" i="77"/>
  <c r="F286" i="77"/>
  <c r="J284" i="77"/>
  <c r="D283" i="77"/>
  <c r="H281" i="77"/>
  <c r="L277" i="77"/>
  <c r="F276" i="77"/>
  <c r="J274" i="77"/>
  <c r="D273" i="77"/>
  <c r="H271" i="77"/>
  <c r="J248" i="77"/>
  <c r="L246" i="77"/>
  <c r="E245" i="77"/>
  <c r="H245" i="77" s="1"/>
  <c r="E234" i="77"/>
  <c r="C233" i="77"/>
  <c r="D233" i="77" s="1"/>
  <c r="O231" i="77"/>
  <c r="M230" i="77"/>
  <c r="K229" i="77"/>
  <c r="I228" i="77"/>
  <c r="D221" i="77"/>
  <c r="F219" i="77"/>
  <c r="I219" i="77" s="1"/>
  <c r="H217" i="77"/>
  <c r="K217" i="77" s="1"/>
  <c r="E206" i="77"/>
  <c r="E202" i="77"/>
  <c r="E198" i="77"/>
  <c r="E194" i="77"/>
  <c r="K186" i="77"/>
  <c r="D185" i="77"/>
  <c r="G185" i="77" s="1"/>
  <c r="F183" i="77"/>
  <c r="I183" i="77" s="1"/>
  <c r="J179" i="77"/>
  <c r="L177" i="77"/>
  <c r="E176" i="77"/>
  <c r="H176" i="77" s="1"/>
  <c r="Q162" i="77"/>
  <c r="O161" i="77"/>
  <c r="M160" i="77"/>
  <c r="K159" i="77"/>
  <c r="I158" i="77"/>
  <c r="G157" i="77"/>
  <c r="Q154" i="77"/>
  <c r="O153" i="77"/>
  <c r="M152" i="77"/>
  <c r="K151" i="77"/>
  <c r="I150" i="77"/>
  <c r="G149" i="77"/>
  <c r="E141" i="77"/>
  <c r="G139" i="77"/>
  <c r="J139" i="77" s="1"/>
  <c r="I137" i="77"/>
  <c r="L137" i="77" s="1"/>
  <c r="D134" i="77"/>
  <c r="F132" i="77"/>
  <c r="H130" i="77"/>
  <c r="K130" i="77" s="1"/>
  <c r="C117" i="77"/>
  <c r="F117" i="77" s="1"/>
  <c r="I115" i="77"/>
  <c r="D114" i="77"/>
  <c r="G114" i="77" s="1"/>
  <c r="J112" i="77"/>
  <c r="K305" i="77"/>
  <c r="E304" i="77"/>
  <c r="I302" i="77"/>
  <c r="K295" i="77"/>
  <c r="E294" i="77"/>
  <c r="I292" i="77"/>
  <c r="G289" i="77"/>
  <c r="K287" i="77"/>
  <c r="E286" i="77"/>
  <c r="I284" i="77"/>
  <c r="G281" i="77"/>
  <c r="K277" i="77"/>
  <c r="E276" i="77"/>
  <c r="I274" i="77"/>
  <c r="G271" i="77"/>
  <c r="L269" i="77"/>
  <c r="K246" i="77"/>
  <c r="D245" i="77"/>
  <c r="G245" i="77" s="1"/>
  <c r="F243" i="77"/>
  <c r="P232" i="77"/>
  <c r="N231" i="77"/>
  <c r="L230" i="77"/>
  <c r="J229" i="77"/>
  <c r="H228" i="77"/>
  <c r="C221" i="77"/>
  <c r="E219" i="77"/>
  <c r="G217" i="77"/>
  <c r="J217" i="77" s="1"/>
  <c r="J305" i="77"/>
  <c r="D304" i="77"/>
  <c r="H302" i="77"/>
  <c r="L300" i="77"/>
  <c r="J295" i="77"/>
  <c r="D294" i="77"/>
  <c r="H292" i="77"/>
  <c r="L290" i="77"/>
  <c r="F289" i="77"/>
  <c r="J287" i="77"/>
  <c r="D286" i="77"/>
  <c r="H284" i="77"/>
  <c r="L282" i="77"/>
  <c r="F281" i="77"/>
  <c r="J277" i="77"/>
  <c r="D276" i="77"/>
  <c r="I305" i="77"/>
  <c r="G302" i="77"/>
  <c r="K300" i="77"/>
  <c r="I295" i="77"/>
  <c r="G292" i="77"/>
  <c r="K290" i="77"/>
  <c r="E289" i="77"/>
  <c r="I287" i="77"/>
  <c r="G284" i="77"/>
  <c r="K282" i="77"/>
  <c r="E281" i="77"/>
  <c r="I277" i="77"/>
  <c r="G274" i="77"/>
  <c r="K272" i="77"/>
  <c r="E271" i="77"/>
  <c r="J269" i="77"/>
  <c r="D262" i="77"/>
  <c r="F262" i="77" s="1"/>
  <c r="D258" i="77"/>
  <c r="F258" i="77" s="1"/>
  <c r="K244" i="77"/>
  <c r="D243" i="77"/>
  <c r="P233" i="77"/>
  <c r="N232" i="77"/>
  <c r="L231" i="77"/>
  <c r="J230" i="77"/>
  <c r="H229" i="77"/>
  <c r="F228" i="77"/>
  <c r="H222" i="77"/>
  <c r="K222" i="77" s="1"/>
  <c r="C219" i="77"/>
  <c r="E217" i="77"/>
  <c r="J184" i="77"/>
  <c r="L182" i="77"/>
  <c r="E181" i="77"/>
  <c r="H181" i="77" s="1"/>
  <c r="K175" i="77"/>
  <c r="D174" i="77"/>
  <c r="G174" i="77" s="1"/>
  <c r="F172" i="77"/>
  <c r="I172" i="77" s="1"/>
  <c r="N162" i="77"/>
  <c r="L161" i="77"/>
  <c r="J160" i="77"/>
  <c r="H159" i="77"/>
  <c r="F158" i="77"/>
  <c r="D157" i="77"/>
  <c r="E157" i="77" s="1"/>
  <c r="P155" i="77"/>
  <c r="N154" i="77"/>
  <c r="L153" i="77"/>
  <c r="J152" i="77"/>
  <c r="H151" i="77"/>
  <c r="F150" i="77"/>
  <c r="D149" i="77"/>
  <c r="E149" i="77" s="1"/>
  <c r="P147" i="77"/>
  <c r="D139" i="77"/>
  <c r="F137" i="77"/>
  <c r="H135" i="77"/>
  <c r="K135" i="77" s="1"/>
  <c r="E130" i="77"/>
  <c r="G128" i="77"/>
  <c r="J128" i="77" s="1"/>
  <c r="I126" i="77"/>
  <c r="B111" i="77"/>
  <c r="E111" i="77" s="1"/>
  <c r="H305" i="77"/>
  <c r="L303" i="77"/>
  <c r="F302" i="77"/>
  <c r="J300" i="77"/>
  <c r="H295" i="77"/>
  <c r="L293" i="77"/>
  <c r="F292" i="77"/>
  <c r="J290" i="77"/>
  <c r="D289" i="77"/>
  <c r="H287" i="77"/>
  <c r="L285" i="77"/>
  <c r="F284" i="77"/>
  <c r="J282" i="77"/>
  <c r="D281" i="77"/>
  <c r="H277" i="77"/>
  <c r="L275" i="77"/>
  <c r="F274" i="77"/>
  <c r="J272" i="77"/>
  <c r="D271" i="77"/>
  <c r="I269" i="77"/>
  <c r="F248" i="77"/>
  <c r="I248" i="77" s="1"/>
  <c r="J244" i="77"/>
  <c r="O233" i="77"/>
  <c r="M232" i="77"/>
  <c r="K231" i="77"/>
  <c r="I230" i="77"/>
  <c r="G229" i="77"/>
  <c r="E228" i="77"/>
  <c r="G222" i="77"/>
  <c r="J222" i="77" s="1"/>
  <c r="D217" i="77"/>
  <c r="E205" i="77"/>
  <c r="E201" i="77"/>
  <c r="E197" i="77"/>
  <c r="E193" i="77"/>
  <c r="K182" i="77"/>
  <c r="D181" i="77"/>
  <c r="G181" i="77" s="1"/>
  <c r="F179" i="77"/>
  <c r="I179" i="77" s="1"/>
  <c r="J175" i="77"/>
  <c r="L173" i="77"/>
  <c r="E172" i="77"/>
  <c r="H172" i="77" s="1"/>
  <c r="M162" i="77"/>
  <c r="K161" i="77"/>
  <c r="I160" i="77"/>
  <c r="G159" i="77"/>
  <c r="Q156" i="77"/>
  <c r="O155" i="77"/>
  <c r="M154" i="77"/>
  <c r="K153" i="77"/>
  <c r="I152" i="77"/>
  <c r="G151" i="77"/>
  <c r="Q148" i="77"/>
  <c r="O147" i="77"/>
  <c r="E137" i="77"/>
  <c r="G135" i="77"/>
  <c r="J135" i="77" s="1"/>
  <c r="I133" i="77"/>
  <c r="L133" i="77" s="1"/>
  <c r="D130" i="77"/>
  <c r="F128" i="77"/>
  <c r="H126" i="77"/>
  <c r="J116" i="77"/>
  <c r="L306" i="77"/>
  <c r="K306" i="77"/>
  <c r="J306" i="77"/>
  <c r="D305" i="77"/>
  <c r="H303" i="77"/>
  <c r="L301" i="77"/>
  <c r="F300" i="77"/>
  <c r="J296" i="77"/>
  <c r="D295" i="77"/>
  <c r="H293" i="77"/>
  <c r="L291" i="77"/>
  <c r="F290" i="77"/>
  <c r="J288" i="77"/>
  <c r="D287" i="77"/>
  <c r="H285" i="77"/>
  <c r="L283" i="77"/>
  <c r="F282" i="77"/>
  <c r="D277" i="77"/>
  <c r="H275" i="77"/>
  <c r="L273" i="77"/>
  <c r="F272" i="77"/>
  <c r="J270" i="77"/>
  <c r="E269" i="77"/>
  <c r="K247" i="77"/>
  <c r="D246" i="77"/>
  <c r="G246" i="77" s="1"/>
  <c r="F244" i="77"/>
  <c r="I244" i="77" s="1"/>
  <c r="M234" i="77"/>
  <c r="K233" i="77"/>
  <c r="I232" i="77"/>
  <c r="G231" i="77"/>
  <c r="E230" i="77"/>
  <c r="C229" i="77"/>
  <c r="D229" i="77" s="1"/>
  <c r="C222" i="77"/>
  <c r="E220" i="77"/>
  <c r="G218" i="77"/>
  <c r="J218" i="77" s="1"/>
  <c r="E208" i="77"/>
  <c r="E204" i="77"/>
  <c r="E200" i="77"/>
  <c r="E196" i="77"/>
  <c r="L185" i="77"/>
  <c r="E184" i="77"/>
  <c r="H184" i="77" s="1"/>
  <c r="K178" i="77"/>
  <c r="D177" i="77"/>
  <c r="G177" i="77" s="1"/>
  <c r="F175" i="77"/>
  <c r="I175" i="77" s="1"/>
  <c r="J171" i="77"/>
  <c r="I162" i="77"/>
  <c r="G161" i="77"/>
  <c r="Q158" i="77"/>
  <c r="O157" i="77"/>
  <c r="M156" i="77"/>
  <c r="K155" i="77"/>
  <c r="I154" i="77"/>
  <c r="G153" i="77"/>
  <c r="Q150" i="77"/>
  <c r="O149" i="77"/>
  <c r="M148" i="77"/>
  <c r="K147" i="77"/>
  <c r="F140" i="77"/>
  <c r="H138" i="77"/>
  <c r="K138" i="77" s="1"/>
  <c r="E133" i="77"/>
  <c r="G131" i="77"/>
  <c r="J131" i="77" s="1"/>
  <c r="I129" i="77"/>
  <c r="L129" i="77" s="1"/>
  <c r="D126" i="77"/>
  <c r="B112" i="77"/>
  <c r="E112" i="77" s="1"/>
  <c r="H110" i="77"/>
  <c r="I306" i="77"/>
  <c r="G303" i="77"/>
  <c r="E300" i="77"/>
  <c r="K291" i="77"/>
  <c r="I288" i="77"/>
  <c r="G285" i="77"/>
  <c r="E282" i="77"/>
  <c r="I271" i="77"/>
  <c r="D249" i="77"/>
  <c r="G249" i="77" s="1"/>
  <c r="E246" i="77"/>
  <c r="H246" i="77" s="1"/>
  <c r="L234" i="77"/>
  <c r="O232" i="77"/>
  <c r="E229" i="77"/>
  <c r="D220" i="77"/>
  <c r="F217" i="77"/>
  <c r="I217" i="77" s="1"/>
  <c r="D208" i="77"/>
  <c r="K181" i="77"/>
  <c r="E179" i="77"/>
  <c r="H179" i="77" s="1"/>
  <c r="J176" i="77"/>
  <c r="E174" i="77"/>
  <c r="H174" i="77" s="1"/>
  <c r="H161" i="77"/>
  <c r="M159" i="77"/>
  <c r="Q157" i="77"/>
  <c r="H156" i="77"/>
  <c r="L154" i="77"/>
  <c r="D153" i="77"/>
  <c r="E153" i="77" s="1"/>
  <c r="I151" i="77"/>
  <c r="M149" i="77"/>
  <c r="D148" i="77"/>
  <c r="E148" i="77" s="1"/>
  <c r="H139" i="77"/>
  <c r="K139" i="77" s="1"/>
  <c r="F134" i="77"/>
  <c r="I131" i="77"/>
  <c r="L131" i="77" s="1"/>
  <c r="D129" i="77"/>
  <c r="G126" i="77"/>
  <c r="H117" i="77"/>
  <c r="D111" i="77"/>
  <c r="G111" i="77" s="1"/>
  <c r="I99" i="77"/>
  <c r="D98" i="77"/>
  <c r="J96" i="77"/>
  <c r="E95" i="77"/>
  <c r="K93" i="77"/>
  <c r="F92" i="77"/>
  <c r="D81" i="77"/>
  <c r="B80" i="77"/>
  <c r="C80" i="77" s="1"/>
  <c r="N78" i="77"/>
  <c r="L77" i="77"/>
  <c r="J76" i="77"/>
  <c r="H75" i="77"/>
  <c r="F74" i="77"/>
  <c r="D73" i="77"/>
  <c r="F66" i="77"/>
  <c r="I66" i="77" s="1"/>
  <c r="C61" i="77"/>
  <c r="E59" i="77"/>
  <c r="H59" i="77" s="1"/>
  <c r="G36" i="77"/>
  <c r="L24" i="77"/>
  <c r="L20" i="77"/>
  <c r="L16" i="77"/>
  <c r="H306" i="77"/>
  <c r="F303" i="77"/>
  <c r="D300" i="77"/>
  <c r="L294" i="77"/>
  <c r="J291" i="77"/>
  <c r="H288" i="77"/>
  <c r="F285" i="77"/>
  <c r="D282" i="77"/>
  <c r="L276" i="77"/>
  <c r="K273" i="77"/>
  <c r="F271" i="77"/>
  <c r="E257" i="77"/>
  <c r="G257" i="77" s="1"/>
  <c r="L248" i="77"/>
  <c r="L245" i="77"/>
  <c r="E243" i="77"/>
  <c r="K234" i="77"/>
  <c r="L232" i="77"/>
  <c r="P230" i="77"/>
  <c r="C220" i="77"/>
  <c r="C217" i="77"/>
  <c r="D202" i="77"/>
  <c r="D196" i="77"/>
  <c r="L186" i="77"/>
  <c r="F184" i="77"/>
  <c r="I184" i="77" s="1"/>
  <c r="J181" i="77"/>
  <c r="D179" i="77"/>
  <c r="G179" i="77" s="1"/>
  <c r="K173" i="77"/>
  <c r="P162" i="77"/>
  <c r="F161" i="77"/>
  <c r="L159" i="77"/>
  <c r="P157" i="77"/>
  <c r="G156" i="77"/>
  <c r="K154" i="77"/>
  <c r="P152" i="77"/>
  <c r="F151" i="77"/>
  <c r="L149" i="77"/>
  <c r="Q147" i="77"/>
  <c r="F139" i="77"/>
  <c r="I136" i="77"/>
  <c r="L136" i="77" s="1"/>
  <c r="E134" i="77"/>
  <c r="H131" i="77"/>
  <c r="K131" i="77" s="1"/>
  <c r="F126" i="77"/>
  <c r="D115" i="77"/>
  <c r="G115" i="77" s="1"/>
  <c r="D113" i="77"/>
  <c r="G113" i="77" s="1"/>
  <c r="C111" i="77"/>
  <c r="F111" i="77" s="1"/>
  <c r="M100" i="77"/>
  <c r="L117" i="77" s="1"/>
  <c r="H99" i="77"/>
  <c r="B98" i="77"/>
  <c r="I96" i="77"/>
  <c r="D95" i="77"/>
  <c r="J93" i="77"/>
  <c r="E92" i="77"/>
  <c r="O79" i="77"/>
  <c r="M78" i="77"/>
  <c r="K77" i="77"/>
  <c r="I76" i="77"/>
  <c r="G75" i="77"/>
  <c r="E74" i="77"/>
  <c r="E66" i="77"/>
  <c r="H66" i="77" s="1"/>
  <c r="G64" i="77"/>
  <c r="J64" i="77" s="1"/>
  <c r="B61" i="77"/>
  <c r="D59" i="77"/>
  <c r="G44" i="77"/>
  <c r="J24" i="77"/>
  <c r="J20" i="77"/>
  <c r="J16" i="77"/>
  <c r="E306" i="77"/>
  <c r="I294" i="77"/>
  <c r="G291" i="77"/>
  <c r="E288" i="77"/>
  <c r="K281" i="77"/>
  <c r="I276" i="77"/>
  <c r="J273" i="77"/>
  <c r="D257" i="77"/>
  <c r="F257" i="77" s="1"/>
  <c r="K248" i="77"/>
  <c r="K245" i="77"/>
  <c r="J234" i="77"/>
  <c r="K232" i="77"/>
  <c r="O230" i="77"/>
  <c r="P228" i="77"/>
  <c r="J186" i="77"/>
  <c r="D184" i="77"/>
  <c r="G184" i="77" s="1"/>
  <c r="L178" i="77"/>
  <c r="J173" i="77"/>
  <c r="E171" i="77"/>
  <c r="O162" i="77"/>
  <c r="J159" i="77"/>
  <c r="N157" i="77"/>
  <c r="F156" i="77"/>
  <c r="J154" i="77"/>
  <c r="O152" i="77"/>
  <c r="J149" i="77"/>
  <c r="N147" i="77"/>
  <c r="E139" i="77"/>
  <c r="H136" i="77"/>
  <c r="K136" i="77" s="1"/>
  <c r="F131" i="77"/>
  <c r="E126" i="77"/>
  <c r="C115" i="77"/>
  <c r="F115" i="77" s="1"/>
  <c r="B113" i="77"/>
  <c r="E113" i="77" s="1"/>
  <c r="L100" i="77"/>
  <c r="G99" i="77"/>
  <c r="M97" i="77"/>
  <c r="L114" i="77" s="1"/>
  <c r="H96" i="77"/>
  <c r="B95" i="77"/>
  <c r="I93" i="77"/>
  <c r="D92" i="77"/>
  <c r="B81" i="77"/>
  <c r="C81" i="77" s="1"/>
  <c r="N79" i="77"/>
  <c r="L78" i="77"/>
  <c r="J77" i="77"/>
  <c r="H76" i="77"/>
  <c r="F75" i="77"/>
  <c r="D74" i="77"/>
  <c r="B73" i="77"/>
  <c r="D66" i="77"/>
  <c r="F64" i="77"/>
  <c r="I64" i="77" s="1"/>
  <c r="C59" i="77"/>
  <c r="G43" i="77"/>
  <c r="G35" i="77"/>
  <c r="H24" i="77"/>
  <c r="H20" i="77"/>
  <c r="H16" i="77"/>
  <c r="F20" i="77"/>
  <c r="D306" i="77"/>
  <c r="L302" i="77"/>
  <c r="H294" i="77"/>
  <c r="F291" i="77"/>
  <c r="D288" i="77"/>
  <c r="L284" i="77"/>
  <c r="J281" i="77"/>
  <c r="H276" i="77"/>
  <c r="I273" i="77"/>
  <c r="L270" i="77"/>
  <c r="J245" i="77"/>
  <c r="H234" i="77"/>
  <c r="J232" i="77"/>
  <c r="N230" i="77"/>
  <c r="O228" i="77"/>
  <c r="F222" i="77"/>
  <c r="I222" i="77" s="1"/>
  <c r="D207" i="77"/>
  <c r="D201" i="77"/>
  <c r="L183" i="77"/>
  <c r="J178" i="77"/>
  <c r="F176" i="77"/>
  <c r="I176" i="77" s="1"/>
  <c r="D171" i="77"/>
  <c r="L162" i="77"/>
  <c r="D161" i="77"/>
  <c r="E161" i="77" s="1"/>
  <c r="I159" i="77"/>
  <c r="M157" i="77"/>
  <c r="D156" i="77"/>
  <c r="E156" i="77" s="1"/>
  <c r="H154" i="77"/>
  <c r="N152" i="77"/>
  <c r="D151" i="77"/>
  <c r="E151" i="77" s="1"/>
  <c r="I149" i="77"/>
  <c r="M147" i="77"/>
  <c r="H141" i="77"/>
  <c r="K141" i="77" s="1"/>
  <c r="G136" i="77"/>
  <c r="J136" i="77" s="1"/>
  <c r="E131" i="77"/>
  <c r="I128" i="77"/>
  <c r="L128" i="77" s="1"/>
  <c r="D117" i="77"/>
  <c r="G117" i="77" s="1"/>
  <c r="B115" i="77"/>
  <c r="E115" i="77" s="1"/>
  <c r="J110" i="77"/>
  <c r="D109" i="77"/>
  <c r="K100" i="77"/>
  <c r="F99" i="77"/>
  <c r="L97" i="77"/>
  <c r="G96" i="77"/>
  <c r="M94" i="77"/>
  <c r="L111" i="77" s="1"/>
  <c r="H93" i="77"/>
  <c r="B92" i="77"/>
  <c r="O80" i="77"/>
  <c r="M79" i="77"/>
  <c r="K78" i="77"/>
  <c r="I77" i="77"/>
  <c r="G76" i="77"/>
  <c r="E75" i="77"/>
  <c r="C66" i="77"/>
  <c r="E64" i="77"/>
  <c r="H64" i="77" s="1"/>
  <c r="G62" i="77"/>
  <c r="J62" i="77" s="1"/>
  <c r="B59" i="77"/>
  <c r="F24" i="77"/>
  <c r="F16" i="77"/>
  <c r="K302" i="77"/>
  <c r="G294" i="77"/>
  <c r="E291" i="77"/>
  <c r="K284" i="77"/>
  <c r="I281" i="77"/>
  <c r="G276" i="77"/>
  <c r="G273" i="77"/>
  <c r="K270" i="77"/>
  <c r="E256" i="77"/>
  <c r="E248" i="77"/>
  <c r="H248" i="77" s="1"/>
  <c r="G234" i="77"/>
  <c r="H232" i="77"/>
  <c r="K230" i="77"/>
  <c r="N228" i="77"/>
  <c r="E222" i="77"/>
  <c r="H219" i="77"/>
  <c r="K219" i="77" s="1"/>
  <c r="H216" i="77"/>
  <c r="D195" i="77"/>
  <c r="F186" i="77"/>
  <c r="I186" i="77" s="1"/>
  <c r="K183" i="77"/>
  <c r="F181" i="77"/>
  <c r="I181" i="77" s="1"/>
  <c r="D176" i="77"/>
  <c r="G176" i="77" s="1"/>
  <c r="K162" i="77"/>
  <c r="P160" i="77"/>
  <c r="F159" i="77"/>
  <c r="L157" i="77"/>
  <c r="Q155" i="77"/>
  <c r="G154" i="77"/>
  <c r="L152" i="77"/>
  <c r="P150" i="77"/>
  <c r="H149" i="77"/>
  <c r="L147" i="77"/>
  <c r="G141" i="77"/>
  <c r="J141" i="77" s="1"/>
  <c r="E136" i="77"/>
  <c r="H133" i="77"/>
  <c r="K133" i="77" s="1"/>
  <c r="D131" i="77"/>
  <c r="H128" i="77"/>
  <c r="K128" i="77" s="1"/>
  <c r="B117" i="77"/>
  <c r="E117" i="77" s="1"/>
  <c r="I110" i="77"/>
  <c r="C109" i="77"/>
  <c r="J100" i="77"/>
  <c r="E99" i="77"/>
  <c r="K97" i="77"/>
  <c r="F96" i="77"/>
  <c r="L94" i="77"/>
  <c r="G93" i="77"/>
  <c r="N80" i="77"/>
  <c r="L79" i="77"/>
  <c r="J78" i="77"/>
  <c r="H77" i="77"/>
  <c r="F76" i="77"/>
  <c r="D75" i="77"/>
  <c r="B74" i="77"/>
  <c r="C74" i="77" s="1"/>
  <c r="B66" i="77"/>
  <c r="D64" i="77"/>
  <c r="F62" i="77"/>
  <c r="I62" i="77" s="1"/>
  <c r="L23" i="77"/>
  <c r="L19" i="77"/>
  <c r="G305" i="77"/>
  <c r="E302" i="77"/>
  <c r="K293" i="77"/>
  <c r="I290" i="77"/>
  <c r="G287" i="77"/>
  <c r="E284" i="77"/>
  <c r="K275" i="77"/>
  <c r="F273" i="77"/>
  <c r="I270" i="77"/>
  <c r="E262" i="77"/>
  <c r="G262" i="77" s="1"/>
  <c r="D256" i="77"/>
  <c r="D248" i="77"/>
  <c r="G248" i="77" s="1"/>
  <c r="F234" i="77"/>
  <c r="G232" i="77"/>
  <c r="H230" i="77"/>
  <c r="L228" i="77"/>
  <c r="D222" i="77"/>
  <c r="G219" i="77"/>
  <c r="J219" i="77" s="1"/>
  <c r="G216" i="77"/>
  <c r="E186" i="77"/>
  <c r="H186" i="77" s="1"/>
  <c r="L180" i="77"/>
  <c r="L175" i="77"/>
  <c r="F173" i="77"/>
  <c r="I173" i="77" s="1"/>
  <c r="J162" i="77"/>
  <c r="O160" i="77"/>
  <c r="J157" i="77"/>
  <c r="N155" i="77"/>
  <c r="F154" i="77"/>
  <c r="K152" i="77"/>
  <c r="O150" i="77"/>
  <c r="F149" i="77"/>
  <c r="J147" i="77"/>
  <c r="F141" i="77"/>
  <c r="I138" i="77"/>
  <c r="L138" i="77" s="1"/>
  <c r="D136" i="77"/>
  <c r="G133" i="77"/>
  <c r="J133" i="77" s="1"/>
  <c r="E128" i="77"/>
  <c r="J114" i="77"/>
  <c r="I112" i="77"/>
  <c r="B109" i="77"/>
  <c r="I100" i="77"/>
  <c r="D99" i="77"/>
  <c r="J97" i="77"/>
  <c r="E96" i="77"/>
  <c r="K94" i="77"/>
  <c r="F93" i="77"/>
  <c r="O81" i="77"/>
  <c r="M80" i="77"/>
  <c r="K79" i="77"/>
  <c r="I78" i="77"/>
  <c r="G77" i="77"/>
  <c r="E76" i="77"/>
  <c r="O73" i="77"/>
  <c r="C64" i="77"/>
  <c r="E62" i="77"/>
  <c r="H62" i="77" s="1"/>
  <c r="G60" i="77"/>
  <c r="J60" i="77" s="1"/>
  <c r="G42" i="77"/>
  <c r="J23" i="77"/>
  <c r="J19" i="77"/>
  <c r="J303" i="77"/>
  <c r="H300" i="77"/>
  <c r="F295" i="77"/>
  <c r="D292" i="77"/>
  <c r="L288" i="77"/>
  <c r="J285" i="77"/>
  <c r="H282" i="77"/>
  <c r="F277" i="77"/>
  <c r="F305" i="77"/>
  <c r="D302" i="77"/>
  <c r="L296" i="77"/>
  <c r="J293" i="77"/>
  <c r="H290" i="77"/>
  <c r="F287" i="77"/>
  <c r="D284" i="77"/>
  <c r="J275" i="77"/>
  <c r="E273" i="77"/>
  <c r="H270" i="77"/>
  <c r="L247" i="77"/>
  <c r="F245" i="77"/>
  <c r="I245" i="77" s="1"/>
  <c r="C234" i="77"/>
  <c r="D234" i="77" s="1"/>
  <c r="F232" i="77"/>
  <c r="G230" i="77"/>
  <c r="K228" i="77"/>
  <c r="D219" i="77"/>
  <c r="F216" i="77"/>
  <c r="D206" i="77"/>
  <c r="D200" i="77"/>
  <c r="D186" i="77"/>
  <c r="G186" i="77" s="1"/>
  <c r="K180" i="77"/>
  <c r="F178" i="77"/>
  <c r="I178" i="77" s="1"/>
  <c r="E173" i="77"/>
  <c r="H173" i="77" s="1"/>
  <c r="H162" i="77"/>
  <c r="N160" i="77"/>
  <c r="D159" i="77"/>
  <c r="E159" i="77" s="1"/>
  <c r="I157" i="77"/>
  <c r="M155" i="77"/>
  <c r="D154" i="77"/>
  <c r="E154" i="77" s="1"/>
  <c r="H152" i="77"/>
  <c r="N150" i="77"/>
  <c r="I147" i="77"/>
  <c r="D141" i="77"/>
  <c r="G138" i="77"/>
  <c r="J138" i="77" s="1"/>
  <c r="F133" i="77"/>
  <c r="D128" i="77"/>
  <c r="I116" i="77"/>
  <c r="I114" i="77"/>
  <c r="H112" i="77"/>
  <c r="H100" i="77"/>
  <c r="B99" i="77"/>
  <c r="I97" i="77"/>
  <c r="D96" i="77"/>
  <c r="J94" i="77"/>
  <c r="E93" i="77"/>
  <c r="N81" i="77"/>
  <c r="L80" i="77"/>
  <c r="J79" i="77"/>
  <c r="H78" i="77"/>
  <c r="F77" i="77"/>
  <c r="D76" i="77"/>
  <c r="B75" i="77"/>
  <c r="C75" i="77" s="1"/>
  <c r="N73" i="77"/>
  <c r="B64" i="77"/>
  <c r="D62" i="77"/>
  <c r="F60" i="77"/>
  <c r="I60" i="77" s="1"/>
  <c r="K41" i="77"/>
  <c r="H23" i="77"/>
  <c r="H19" i="77"/>
  <c r="E305" i="77"/>
  <c r="K296" i="77"/>
  <c r="I293" i="77"/>
  <c r="G290" i="77"/>
  <c r="E287" i="77"/>
  <c r="I275" i="77"/>
  <c r="L272" i="77"/>
  <c r="G270" i="77"/>
  <c r="E261" i="77"/>
  <c r="G261" i="77" s="1"/>
  <c r="J247" i="77"/>
  <c r="L244" i="77"/>
  <c r="N233" i="77"/>
  <c r="F230" i="77"/>
  <c r="J228" i="77"/>
  <c r="D216" i="77"/>
  <c r="D194" i="77"/>
  <c r="K185" i="77"/>
  <c r="J180" i="77"/>
  <c r="E178" i="77"/>
  <c r="H178" i="77" s="1"/>
  <c r="L172" i="77"/>
  <c r="G162" i="77"/>
  <c r="L160" i="77"/>
  <c r="P158" i="77"/>
  <c r="H157" i="77"/>
  <c r="L155" i="77"/>
  <c r="Q153" i="77"/>
  <c r="G152" i="77"/>
  <c r="L150" i="77"/>
  <c r="P148" i="77"/>
  <c r="H147" i="77"/>
  <c r="F138" i="77"/>
  <c r="D133" i="77"/>
  <c r="I130" i="77"/>
  <c r="L130" i="77" s="1"/>
  <c r="H116" i="77"/>
  <c r="G100" i="77"/>
  <c r="M98" i="77"/>
  <c r="L115" i="77" s="1"/>
  <c r="H97" i="77"/>
  <c r="B96" i="77"/>
  <c r="I94" i="77"/>
  <c r="D93" i="77"/>
  <c r="M81" i="77"/>
  <c r="K80" i="77"/>
  <c r="I79" i="77"/>
  <c r="G78" i="77"/>
  <c r="E77" i="77"/>
  <c r="O74" i="77"/>
  <c r="M73" i="77"/>
  <c r="C62" i="77"/>
  <c r="E60" i="77"/>
  <c r="H60" i="77" s="1"/>
  <c r="G58" i="77"/>
  <c r="G41" i="77"/>
  <c r="F23" i="77"/>
  <c r="F19" i="77"/>
  <c r="K301" i="77"/>
  <c r="I296" i="77"/>
  <c r="G293" i="77"/>
  <c r="E290" i="77"/>
  <c r="K283" i="77"/>
  <c r="G275" i="77"/>
  <c r="I272" i="77"/>
  <c r="E270" i="77"/>
  <c r="D261" i="77"/>
  <c r="F261" i="77" s="1"/>
  <c r="M233" i="77"/>
  <c r="C232" i="77"/>
  <c r="D232" i="77" s="1"/>
  <c r="G228" i="77"/>
  <c r="C216" i="77"/>
  <c r="D205" i="77"/>
  <c r="J185" i="77"/>
  <c r="E183" i="77"/>
  <c r="H183" i="77" s="1"/>
  <c r="D178" i="77"/>
  <c r="G178" i="77" s="1"/>
  <c r="K172" i="77"/>
  <c r="F162" i="77"/>
  <c r="K160" i="77"/>
  <c r="O158" i="77"/>
  <c r="F157" i="77"/>
  <c r="J155" i="77"/>
  <c r="P153" i="77"/>
  <c r="F152" i="77"/>
  <c r="K150" i="77"/>
  <c r="O148" i="77"/>
  <c r="F147" i="77"/>
  <c r="I140" i="77"/>
  <c r="L140" i="77" s="1"/>
  <c r="E138" i="77"/>
  <c r="I135" i="77"/>
  <c r="L135" i="77" s="1"/>
  <c r="G130" i="77"/>
  <c r="J130" i="77" s="1"/>
  <c r="D112" i="77"/>
  <c r="G112" i="77" s="1"/>
  <c r="D110" i="77"/>
  <c r="G110" i="77" s="1"/>
  <c r="F100" i="77"/>
  <c r="L98" i="77"/>
  <c r="G97" i="77"/>
  <c r="M95" i="77"/>
  <c r="L112" i="77" s="1"/>
  <c r="H94" i="77"/>
  <c r="B93" i="77"/>
  <c r="L81" i="77"/>
  <c r="J80" i="77"/>
  <c r="H79" i="77"/>
  <c r="F78" i="77"/>
  <c r="D77" i="77"/>
  <c r="B76" i="77"/>
  <c r="C76" i="77" s="1"/>
  <c r="N74" i="77"/>
  <c r="L73" i="77"/>
  <c r="G65" i="77"/>
  <c r="J65" i="77" s="1"/>
  <c r="B62" i="77"/>
  <c r="D60" i="77"/>
  <c r="F58" i="77"/>
  <c r="K40" i="77"/>
  <c r="J31" i="77"/>
  <c r="L22" i="77"/>
  <c r="L18" i="77"/>
  <c r="L304" i="77"/>
  <c r="J301" i="77"/>
  <c r="H296" i="77"/>
  <c r="F293" i="77"/>
  <c r="D290" i="77"/>
  <c r="L286" i="77"/>
  <c r="J283" i="77"/>
  <c r="F275" i="77"/>
  <c r="H272" i="77"/>
  <c r="D270" i="77"/>
  <c r="L233" i="77"/>
  <c r="P231" i="77"/>
  <c r="C230" i="77"/>
  <c r="D230" i="77" s="1"/>
  <c r="G221" i="77"/>
  <c r="J221" i="77" s="1"/>
  <c r="H218" i="77"/>
  <c r="K218" i="77" s="1"/>
  <c r="D199" i="77"/>
  <c r="D193" i="77"/>
  <c r="D183" i="77"/>
  <c r="G183" i="77" s="1"/>
  <c r="K177" i="77"/>
  <c r="E175" i="77"/>
  <c r="H175" i="77" s="1"/>
  <c r="J172" i="77"/>
  <c r="D162" i="77"/>
  <c r="E162" i="77" s="1"/>
  <c r="H160" i="77"/>
  <c r="N158" i="77"/>
  <c r="I155" i="77"/>
  <c r="N153" i="77"/>
  <c r="D152" i="77"/>
  <c r="E152" i="77" s="1"/>
  <c r="J150" i="77"/>
  <c r="N148" i="77"/>
  <c r="H140" i="77"/>
  <c r="K140" i="77" s="1"/>
  <c r="F135" i="77"/>
  <c r="F130" i="77"/>
  <c r="I127" i="77"/>
  <c r="L127" i="77" s="1"/>
  <c r="C112" i="77"/>
  <c r="F112" i="77" s="1"/>
  <c r="C110" i="77"/>
  <c r="F110" i="77" s="1"/>
  <c r="E100" i="77"/>
  <c r="K98" i="77"/>
  <c r="F97" i="77"/>
  <c r="L95" i="77"/>
  <c r="G94" i="77"/>
  <c r="M92" i="77"/>
  <c r="K81" i="77"/>
  <c r="I80" i="77"/>
  <c r="G79" i="77"/>
  <c r="E78" i="77"/>
  <c r="O75" i="77"/>
  <c r="M74" i="77"/>
  <c r="K73" i="77"/>
  <c r="F65" i="77"/>
  <c r="I65" i="77" s="1"/>
  <c r="C60" i="77"/>
  <c r="E58" i="77"/>
  <c r="G40" i="77"/>
  <c r="H31" i="77"/>
  <c r="J22" i="77"/>
  <c r="J18" i="77"/>
  <c r="I304" i="77"/>
  <c r="G301" i="77"/>
  <c r="E296" i="77"/>
  <c r="K289" i="77"/>
  <c r="I286" i="77"/>
  <c r="G283" i="77"/>
  <c r="G272" i="77"/>
  <c r="E260" i="77"/>
  <c r="G260" i="77" s="1"/>
  <c r="L249" i="77"/>
  <c r="F247" i="77"/>
  <c r="I247" i="77" s="1"/>
  <c r="J233" i="77"/>
  <c r="M231" i="77"/>
  <c r="P229" i="77"/>
  <c r="C228" i="77"/>
  <c r="F221" i="77"/>
  <c r="I221" i="77" s="1"/>
  <c r="F218" i="77"/>
  <c r="I218" i="77" s="1"/>
  <c r="J182" i="77"/>
  <c r="F180" i="77"/>
  <c r="I180" i="77" s="1"/>
  <c r="J177" i="77"/>
  <c r="D175" i="77"/>
  <c r="G175" i="77" s="1"/>
  <c r="Q161" i="77"/>
  <c r="G160" i="77"/>
  <c r="L158" i="77"/>
  <c r="P156" i="77"/>
  <c r="H155" i="77"/>
  <c r="M153" i="77"/>
  <c r="Q151" i="77"/>
  <c r="H150" i="77"/>
  <c r="L148" i="77"/>
  <c r="D147" i="77"/>
  <c r="G140" i="77"/>
  <c r="J140" i="77" s="1"/>
  <c r="E135" i="77"/>
  <c r="I132" i="77"/>
  <c r="L132" i="77" s="1"/>
  <c r="H127" i="77"/>
  <c r="K127" i="77" s="1"/>
  <c r="D116" i="77"/>
  <c r="G116" i="77" s="1"/>
  <c r="C114" i="77"/>
  <c r="F114" i="77" s="1"/>
  <c r="B110" i="77"/>
  <c r="E110" i="77" s="1"/>
  <c r="D100" i="77"/>
  <c r="J98" i="77"/>
  <c r="E97" i="77"/>
  <c r="K95" i="77"/>
  <c r="F94" i="77"/>
  <c r="L92" i="77"/>
  <c r="J81" i="77"/>
  <c r="H80" i="77"/>
  <c r="F79" i="77"/>
  <c r="D78" i="77"/>
  <c r="B77" i="77"/>
  <c r="C77" i="77" s="1"/>
  <c r="N75" i="77"/>
  <c r="L74" i="77"/>
  <c r="J73" i="77"/>
  <c r="E65" i="77"/>
  <c r="H65" i="77" s="1"/>
  <c r="G63" i="77"/>
  <c r="J63" i="77" s="1"/>
  <c r="B60" i="77"/>
  <c r="D58" i="77"/>
  <c r="K39" i="77"/>
  <c r="F31" i="77"/>
  <c r="H22" i="77"/>
  <c r="H18" i="77"/>
  <c r="H304" i="77"/>
  <c r="F301" i="77"/>
  <c r="D296" i="77"/>
  <c r="L292" i="77"/>
  <c r="J289" i="77"/>
  <c r="H286" i="77"/>
  <c r="F283" i="77"/>
  <c r="L274" i="77"/>
  <c r="E272" i="77"/>
  <c r="K269" i="77"/>
  <c r="D260" i="77"/>
  <c r="F260" i="77" s="1"/>
  <c r="K249" i="77"/>
  <c r="E247" i="77"/>
  <c r="H247" i="77" s="1"/>
  <c r="E244" i="77"/>
  <c r="H244" i="77" s="1"/>
  <c r="I233" i="77"/>
  <c r="J231" i="77"/>
  <c r="N229" i="77"/>
  <c r="E221" i="77"/>
  <c r="E218" i="77"/>
  <c r="D204" i="77"/>
  <c r="F185" i="77"/>
  <c r="I185" i="77" s="1"/>
  <c r="D180" i="77"/>
  <c r="G180" i="77" s="1"/>
  <c r="L174" i="77"/>
  <c r="P161" i="77"/>
  <c r="F160" i="77"/>
  <c r="K158" i="77"/>
  <c r="O156" i="77"/>
  <c r="F155" i="77"/>
  <c r="J153" i="77"/>
  <c r="P151" i="77"/>
  <c r="G150" i="77"/>
  <c r="K148" i="77"/>
  <c r="E140" i="77"/>
  <c r="D135" i="77"/>
  <c r="H132" i="77"/>
  <c r="K132" i="77" s="1"/>
  <c r="F127" i="77"/>
  <c r="C116" i="77"/>
  <c r="F116" i="77" s="1"/>
  <c r="B114" i="77"/>
  <c r="E114" i="77" s="1"/>
  <c r="B100" i="77"/>
  <c r="I98" i="77"/>
  <c r="D97" i="77"/>
  <c r="J95" i="77"/>
  <c r="E94" i="77"/>
  <c r="K92" i="77"/>
  <c r="I81" i="77"/>
  <c r="G80" i="77"/>
  <c r="E79" i="77"/>
  <c r="O76" i="77"/>
  <c r="M75" i="77"/>
  <c r="K74" i="77"/>
  <c r="I73" i="77"/>
  <c r="D65" i="77"/>
  <c r="F63" i="77"/>
  <c r="I63" i="77" s="1"/>
  <c r="C58" i="77"/>
  <c r="G39" i="77"/>
  <c r="F22" i="77"/>
  <c r="F18" i="77"/>
  <c r="G304" i="77"/>
  <c r="E301" i="77"/>
  <c r="K292" i="77"/>
  <c r="I289" i="77"/>
  <c r="G286" i="77"/>
  <c r="E283" i="77"/>
  <c r="K274" i="77"/>
  <c r="D272" i="77"/>
  <c r="H269" i="77"/>
  <c r="J249" i="77"/>
  <c r="D247" i="77"/>
  <c r="G247" i="77" s="1"/>
  <c r="D244" i="77"/>
  <c r="G244" i="77" s="1"/>
  <c r="H233" i="77"/>
  <c r="I231" i="77"/>
  <c r="M229" i="77"/>
  <c r="D218" i="77"/>
  <c r="D198" i="77"/>
  <c r="E185" i="77"/>
  <c r="H185" i="77" s="1"/>
  <c r="L179" i="77"/>
  <c r="F177" i="77"/>
  <c r="I177" i="77" s="1"/>
  <c r="J174" i="77"/>
  <c r="D172" i="77"/>
  <c r="G172" i="77" s="1"/>
  <c r="N161" i="77"/>
  <c r="D160" i="77"/>
  <c r="E160" i="77" s="1"/>
  <c r="J158" i="77"/>
  <c r="N156" i="77"/>
  <c r="I153" i="77"/>
  <c r="N151" i="77"/>
  <c r="D150" i="77"/>
  <c r="E150" i="77" s="1"/>
  <c r="J148" i="77"/>
  <c r="D140" i="77"/>
  <c r="H137" i="77"/>
  <c r="K137" i="77" s="1"/>
  <c r="G132" i="77"/>
  <c r="J132" i="77" s="1"/>
  <c r="E127" i="77"/>
  <c r="J113" i="77"/>
  <c r="J111" i="77"/>
  <c r="M99" i="77"/>
  <c r="L116" i="77" s="1"/>
  <c r="H98" i="77"/>
  <c r="B97" i="77"/>
  <c r="I95" i="77"/>
  <c r="D94" i="77"/>
  <c r="J92" i="77"/>
  <c r="H81" i="77"/>
  <c r="F80" i="77"/>
  <c r="D79" i="77"/>
  <c r="B78" i="77"/>
  <c r="C78" i="77" s="1"/>
  <c r="N76" i="77"/>
  <c r="L75" i="77"/>
  <c r="J74" i="77"/>
  <c r="H73" i="77"/>
  <c r="C65" i="77"/>
  <c r="E63" i="77"/>
  <c r="H63" i="77" s="1"/>
  <c r="G61" i="77"/>
  <c r="J61" i="77" s="1"/>
  <c r="B58" i="77"/>
  <c r="L21" i="77"/>
  <c r="L17" i="77"/>
  <c r="K303" i="77"/>
  <c r="I300" i="77"/>
  <c r="G295" i="77"/>
  <c r="E292" i="77"/>
  <c r="K285" i="77"/>
  <c r="I282" i="77"/>
  <c r="G277" i="77"/>
  <c r="H274" i="77"/>
  <c r="G269" i="77"/>
  <c r="E259" i="77"/>
  <c r="G259" i="77" s="1"/>
  <c r="J246" i="77"/>
  <c r="L243" i="77"/>
  <c r="P234" i="77"/>
  <c r="F233" i="77"/>
  <c r="H231" i="77"/>
  <c r="L229" i="77"/>
  <c r="H220" i="77"/>
  <c r="K220" i="77" s="1"/>
  <c r="L184" i="77"/>
  <c r="F182" i="77"/>
  <c r="I182" i="77" s="1"/>
  <c r="K179" i="77"/>
  <c r="E177" i="77"/>
  <c r="H177" i="77" s="1"/>
  <c r="L171" i="77"/>
  <c r="M161" i="77"/>
  <c r="Q159" i="77"/>
  <c r="H158" i="77"/>
  <c r="L156" i="77"/>
  <c r="D155" i="77"/>
  <c r="E155" i="77" s="1"/>
  <c r="H153" i="77"/>
  <c r="M151" i="77"/>
  <c r="Q149" i="77"/>
  <c r="H148" i="77"/>
  <c r="G137" i="77"/>
  <c r="J137" i="77" s="1"/>
  <c r="E132" i="77"/>
  <c r="H129" i="77"/>
  <c r="K129" i="77" s="1"/>
  <c r="D127" i="77"/>
  <c r="I113" i="77"/>
  <c r="H111" i="77"/>
  <c r="J109" i="77"/>
  <c r="L99" i="77"/>
  <c r="G98" i="77"/>
  <c r="M96" i="77"/>
  <c r="L113" i="77" s="1"/>
  <c r="H95" i="77"/>
  <c r="B94" i="77"/>
  <c r="I92" i="77"/>
  <c r="G81" i="77"/>
  <c r="E80" i="77"/>
  <c r="O77" i="77"/>
  <c r="M76" i="77"/>
  <c r="K75" i="77"/>
  <c r="I74" i="77"/>
  <c r="G73" i="77"/>
  <c r="B65" i="77"/>
  <c r="D63" i="77"/>
  <c r="F61" i="77"/>
  <c r="I61" i="77" s="1"/>
  <c r="G38" i="77"/>
  <c r="J21" i="77"/>
  <c r="J17" i="77"/>
  <c r="I303" i="77"/>
  <c r="F231" i="77"/>
  <c r="F153" i="77"/>
  <c r="D132" i="77"/>
  <c r="G92" i="77"/>
  <c r="J75" i="77"/>
  <c r="N159" i="77"/>
  <c r="D61" i="77"/>
  <c r="D203" i="77"/>
  <c r="G300" i="77"/>
  <c r="D259" i="77"/>
  <c r="F259" i="77" s="1"/>
  <c r="E231" i="77"/>
  <c r="D197" i="77"/>
  <c r="I109" i="77"/>
  <c r="I75" i="77"/>
  <c r="E182" i="77"/>
  <c r="H182" i="77" s="1"/>
  <c r="G66" i="77"/>
  <c r="J66" i="77" s="1"/>
  <c r="E295" i="77"/>
  <c r="E258" i="77"/>
  <c r="G258" i="77" s="1"/>
  <c r="I229" i="77"/>
  <c r="L151" i="77"/>
  <c r="G129" i="77"/>
  <c r="J129" i="77" s="1"/>
  <c r="H109" i="77"/>
  <c r="H74" i="77"/>
  <c r="L96" i="77"/>
  <c r="K96" i="77"/>
  <c r="C63" i="77"/>
  <c r="I139" i="77"/>
  <c r="L139" i="77" s="1"/>
  <c r="H113" i="77"/>
  <c r="L76" i="77"/>
  <c r="F229" i="77"/>
  <c r="J151" i="77"/>
  <c r="F129" i="77"/>
  <c r="G74" i="77"/>
  <c r="P149" i="77"/>
  <c r="F73" i="77"/>
  <c r="F148" i="77"/>
  <c r="K288" i="77"/>
  <c r="F249" i="77"/>
  <c r="I249" i="77" s="1"/>
  <c r="O78" i="77"/>
  <c r="O154" i="77"/>
  <c r="I285" i="77"/>
  <c r="K184" i="77"/>
  <c r="N149" i="77"/>
  <c r="K99" i="77"/>
  <c r="E73" i="77"/>
  <c r="G37" i="77"/>
  <c r="F246" i="77"/>
  <c r="I246" i="77" s="1"/>
  <c r="G220" i="77"/>
  <c r="J220" i="77" s="1"/>
  <c r="J161" i="77"/>
  <c r="J99" i="77"/>
  <c r="F81" i="77"/>
  <c r="I161" i="77"/>
  <c r="E81" i="77"/>
  <c r="G282" i="77"/>
  <c r="G148" i="77"/>
  <c r="B63" i="77"/>
  <c r="H92" i="77"/>
  <c r="E277" i="77"/>
  <c r="J243" i="77"/>
  <c r="F220" i="77"/>
  <c r="I220" i="77" s="1"/>
  <c r="F98" i="77"/>
  <c r="J117" i="77"/>
  <c r="J115" i="77"/>
  <c r="E274" i="77"/>
  <c r="D182" i="77"/>
  <c r="G182" i="77" s="1"/>
  <c r="P159" i="77"/>
  <c r="E98" i="77"/>
  <c r="D80" i="77"/>
  <c r="D274" i="77"/>
  <c r="H17" i="77"/>
  <c r="K171" i="77"/>
  <c r="K271" i="77"/>
  <c r="G158" i="77"/>
  <c r="I117" i="77"/>
  <c r="B79" i="77"/>
  <c r="C79" i="77" s="1"/>
  <c r="H21" i="77"/>
  <c r="G134" i="77"/>
  <c r="J134" i="77" s="1"/>
  <c r="J271" i="77"/>
  <c r="L176" i="77"/>
  <c r="D158" i="77"/>
  <c r="E158" i="77" s="1"/>
  <c r="G95" i="77"/>
  <c r="K76" i="77"/>
  <c r="O234" i="77"/>
  <c r="K176" i="77"/>
  <c r="K156" i="77"/>
  <c r="D137" i="77"/>
  <c r="H115" i="77"/>
  <c r="F95" i="77"/>
  <c r="N77" i="77"/>
  <c r="E61" i="77"/>
  <c r="H61" i="77" s="1"/>
  <c r="F21" i="77"/>
  <c r="F269" i="77"/>
  <c r="N234" i="77"/>
  <c r="J156" i="77"/>
  <c r="M93" i="77"/>
  <c r="L110" i="77" s="1"/>
  <c r="M77" i="77"/>
  <c r="F17" i="77"/>
  <c r="D269" i="77"/>
  <c r="E233" i="77"/>
  <c r="F174" i="77"/>
  <c r="I174" i="77" s="1"/>
  <c r="P154" i="77"/>
  <c r="I134" i="77"/>
  <c r="L134" i="77" s="1"/>
  <c r="L93" i="77"/>
  <c r="G59" i="77"/>
  <c r="J59" i="77" s="1"/>
  <c r="F59" i="77"/>
  <c r="I59" i="77" s="1"/>
  <c r="G306" i="76"/>
  <c r="K304" i="76"/>
  <c r="E303" i="76"/>
  <c r="I301" i="76"/>
  <c r="G296" i="76"/>
  <c r="K294" i="76"/>
  <c r="E293" i="76"/>
  <c r="I291" i="76"/>
  <c r="G288" i="76"/>
  <c r="K286" i="76"/>
  <c r="E285" i="76"/>
  <c r="I283" i="76"/>
  <c r="K276" i="76"/>
  <c r="E275" i="76"/>
  <c r="I273" i="76"/>
  <c r="G270" i="76"/>
  <c r="D260" i="76"/>
  <c r="F260" i="76" s="1"/>
  <c r="D256" i="76"/>
  <c r="F249" i="76"/>
  <c r="I249" i="76" s="1"/>
  <c r="J245" i="76"/>
  <c r="L243" i="76"/>
  <c r="J234" i="76"/>
  <c r="H233" i="76"/>
  <c r="F232" i="76"/>
  <c r="P229" i="76"/>
  <c r="N228" i="76"/>
  <c r="D218" i="76"/>
  <c r="F216" i="76"/>
  <c r="K183" i="76"/>
  <c r="D182" i="76"/>
  <c r="G182" i="76" s="1"/>
  <c r="F180" i="76"/>
  <c r="I180" i="76" s="1"/>
  <c r="J176" i="76"/>
  <c r="L174" i="76"/>
  <c r="E173" i="76"/>
  <c r="H173" i="76" s="1"/>
  <c r="F162" i="76"/>
  <c r="D161" i="76"/>
  <c r="E161" i="76" s="1"/>
  <c r="P159" i="76"/>
  <c r="N158" i="76"/>
  <c r="L157" i="76"/>
  <c r="J156" i="76"/>
  <c r="H155" i="76"/>
  <c r="F154" i="76"/>
  <c r="D153" i="76"/>
  <c r="E153" i="76" s="1"/>
  <c r="P151" i="76"/>
  <c r="N150" i="76"/>
  <c r="L149" i="76"/>
  <c r="J148" i="76"/>
  <c r="H147" i="76"/>
  <c r="E138" i="76"/>
  <c r="G136" i="76"/>
  <c r="J136" i="76" s="1"/>
  <c r="I134" i="76"/>
  <c r="L134" i="76" s="1"/>
  <c r="D131" i="76"/>
  <c r="F129" i="76"/>
  <c r="H127" i="76"/>
  <c r="K127" i="76" s="1"/>
  <c r="H117" i="76"/>
  <c r="C116" i="76"/>
  <c r="F116" i="76" s="1"/>
  <c r="I114" i="76"/>
  <c r="D113" i="76"/>
  <c r="G113" i="76" s="1"/>
  <c r="J111" i="76"/>
  <c r="F306" i="76"/>
  <c r="J304" i="76"/>
  <c r="D306" i="76"/>
  <c r="H304" i="76"/>
  <c r="L302" i="76"/>
  <c r="F301" i="76"/>
  <c r="D296" i="76"/>
  <c r="H294" i="76"/>
  <c r="L292" i="76"/>
  <c r="F291" i="76"/>
  <c r="J289" i="76"/>
  <c r="D288" i="76"/>
  <c r="H286" i="76"/>
  <c r="L284" i="76"/>
  <c r="F283" i="76"/>
  <c r="J281" i="76"/>
  <c r="H276" i="76"/>
  <c r="L274" i="76"/>
  <c r="F273" i="76"/>
  <c r="J271" i="76"/>
  <c r="D270" i="76"/>
  <c r="E259" i="76"/>
  <c r="G259" i="76" s="1"/>
  <c r="L248" i="76"/>
  <c r="E247" i="76"/>
  <c r="H247" i="76" s="1"/>
  <c r="G234" i="76"/>
  <c r="E233" i="76"/>
  <c r="C232" i="76"/>
  <c r="D232" i="76" s="1"/>
  <c r="O230" i="76"/>
  <c r="M229" i="76"/>
  <c r="K228" i="76"/>
  <c r="F221" i="76"/>
  <c r="I221" i="76" s="1"/>
  <c r="H219" i="76"/>
  <c r="K219" i="76" s="1"/>
  <c r="C216" i="76"/>
  <c r="F185" i="76"/>
  <c r="I185" i="76" s="1"/>
  <c r="J181" i="76"/>
  <c r="L179" i="76"/>
  <c r="G304" i="76"/>
  <c r="K302" i="76"/>
  <c r="E301" i="76"/>
  <c r="G294" i="76"/>
  <c r="K292" i="76"/>
  <c r="E291" i="76"/>
  <c r="I289" i="76"/>
  <c r="G286" i="76"/>
  <c r="K284" i="76"/>
  <c r="E283" i="76"/>
  <c r="I281" i="76"/>
  <c r="G276" i="76"/>
  <c r="K274" i="76"/>
  <c r="E273" i="76"/>
  <c r="I271" i="76"/>
  <c r="D259" i="76"/>
  <c r="F259" i="76" s="1"/>
  <c r="K248" i="76"/>
  <c r="D247" i="76"/>
  <c r="G247" i="76" s="1"/>
  <c r="F245" i="76"/>
  <c r="I245" i="76" s="1"/>
  <c r="F234" i="76"/>
  <c r="P231" i="76"/>
  <c r="N230" i="76"/>
  <c r="L229" i="76"/>
  <c r="J228" i="76"/>
  <c r="E221" i="76"/>
  <c r="L305" i="76"/>
  <c r="F304" i="76"/>
  <c r="J302" i="76"/>
  <c r="D301" i="76"/>
  <c r="L295" i="76"/>
  <c r="F294" i="76"/>
  <c r="J292" i="76"/>
  <c r="D291" i="76"/>
  <c r="H289" i="76"/>
  <c r="L287" i="76"/>
  <c r="F286" i="76"/>
  <c r="J284" i="76"/>
  <c r="D283" i="76"/>
  <c r="H281" i="76"/>
  <c r="L277" i="76"/>
  <c r="F276" i="76"/>
  <c r="J274" i="76"/>
  <c r="D273" i="76"/>
  <c r="H271" i="76"/>
  <c r="J248" i="76"/>
  <c r="L246" i="76"/>
  <c r="E245" i="76"/>
  <c r="H245" i="76" s="1"/>
  <c r="E234" i="76"/>
  <c r="C233" i="76"/>
  <c r="D233" i="76" s="1"/>
  <c r="O231" i="76"/>
  <c r="M230" i="76"/>
  <c r="K229" i="76"/>
  <c r="I228" i="76"/>
  <c r="D221" i="76"/>
  <c r="F219" i="76"/>
  <c r="I219" i="76" s="1"/>
  <c r="H217" i="76"/>
  <c r="K217" i="76" s="1"/>
  <c r="E206" i="76"/>
  <c r="E202" i="76"/>
  <c r="E198" i="76"/>
  <c r="K305" i="76"/>
  <c r="E304" i="76"/>
  <c r="I302" i="76"/>
  <c r="K295" i="76"/>
  <c r="E294" i="76"/>
  <c r="I292" i="76"/>
  <c r="J305" i="76"/>
  <c r="D304" i="76"/>
  <c r="H302" i="76"/>
  <c r="L300" i="76"/>
  <c r="J295" i="76"/>
  <c r="D294" i="76"/>
  <c r="H292" i="76"/>
  <c r="L290" i="76"/>
  <c r="F289" i="76"/>
  <c r="J287" i="76"/>
  <c r="D286" i="76"/>
  <c r="H284" i="76"/>
  <c r="L282" i="76"/>
  <c r="F281" i="76"/>
  <c r="J277" i="76"/>
  <c r="D276" i="76"/>
  <c r="H274" i="76"/>
  <c r="L272" i="76"/>
  <c r="F271" i="76"/>
  <c r="K269" i="76"/>
  <c r="E262" i="76"/>
  <c r="G262" i="76" s="1"/>
  <c r="E258" i="76"/>
  <c r="G258" i="76" s="1"/>
  <c r="J246" i="76"/>
  <c r="L244" i="76"/>
  <c r="E243" i="76"/>
  <c r="C234" i="76"/>
  <c r="D234" i="76" s="1"/>
  <c r="O232" i="76"/>
  <c r="M231" i="76"/>
  <c r="I305" i="76"/>
  <c r="G302" i="76"/>
  <c r="K300" i="76"/>
  <c r="I295" i="76"/>
  <c r="G292" i="76"/>
  <c r="K290" i="76"/>
  <c r="E289" i="76"/>
  <c r="I287" i="76"/>
  <c r="G284" i="76"/>
  <c r="K282" i="76"/>
  <c r="E281" i="76"/>
  <c r="I277" i="76"/>
  <c r="G274" i="76"/>
  <c r="K272" i="76"/>
  <c r="E271" i="76"/>
  <c r="J269" i="76"/>
  <c r="D262" i="76"/>
  <c r="F262" i="76" s="1"/>
  <c r="D258" i="76"/>
  <c r="F258" i="76" s="1"/>
  <c r="K244" i="76"/>
  <c r="D243" i="76"/>
  <c r="P233" i="76"/>
  <c r="N232" i="76"/>
  <c r="L231" i="76"/>
  <c r="J230" i="76"/>
  <c r="H229" i="76"/>
  <c r="F228" i="76"/>
  <c r="H222" i="76"/>
  <c r="K222" i="76" s="1"/>
  <c r="C219" i="76"/>
  <c r="E217" i="76"/>
  <c r="J184" i="76"/>
  <c r="L182" i="76"/>
  <c r="E181" i="76"/>
  <c r="H181" i="76" s="1"/>
  <c r="K175" i="76"/>
  <c r="D174" i="76"/>
  <c r="G174" i="76" s="1"/>
  <c r="F172" i="76"/>
  <c r="I172" i="76" s="1"/>
  <c r="N162" i="76"/>
  <c r="L161" i="76"/>
  <c r="J160" i="76"/>
  <c r="H159" i="76"/>
  <c r="F158" i="76"/>
  <c r="D157" i="76"/>
  <c r="E157" i="76" s="1"/>
  <c r="P155" i="76"/>
  <c r="N154" i="76"/>
  <c r="L153" i="76"/>
  <c r="J152" i="76"/>
  <c r="H151" i="76"/>
  <c r="F150" i="76"/>
  <c r="D149" i="76"/>
  <c r="E149" i="76" s="1"/>
  <c r="P147" i="76"/>
  <c r="D139" i="76"/>
  <c r="F137" i="76"/>
  <c r="H135" i="76"/>
  <c r="K135" i="76" s="1"/>
  <c r="E130" i="76"/>
  <c r="G128" i="76"/>
  <c r="J128" i="76" s="1"/>
  <c r="I126" i="76"/>
  <c r="H305" i="76"/>
  <c r="G305" i="76"/>
  <c r="K303" i="76"/>
  <c r="E302" i="76"/>
  <c r="I300" i="76"/>
  <c r="G295" i="76"/>
  <c r="K293" i="76"/>
  <c r="E292" i="76"/>
  <c r="I290" i="76"/>
  <c r="G287" i="76"/>
  <c r="K285" i="76"/>
  <c r="E284" i="76"/>
  <c r="I282" i="76"/>
  <c r="G277" i="76"/>
  <c r="K275" i="76"/>
  <c r="E274" i="76"/>
  <c r="I272" i="76"/>
  <c r="H269" i="76"/>
  <c r="L249" i="76"/>
  <c r="E248" i="76"/>
  <c r="H248" i="76" s="1"/>
  <c r="K306" i="76"/>
  <c r="E305" i="76"/>
  <c r="I303" i="76"/>
  <c r="G300" i="76"/>
  <c r="K296" i="76"/>
  <c r="L306" i="76"/>
  <c r="L296" i="76"/>
  <c r="I293" i="76"/>
  <c r="G290" i="76"/>
  <c r="H287" i="76"/>
  <c r="D282" i="76"/>
  <c r="D277" i="76"/>
  <c r="D274" i="76"/>
  <c r="G271" i="76"/>
  <c r="D257" i="76"/>
  <c r="F257" i="76" s="1"/>
  <c r="F248" i="76"/>
  <c r="I248" i="76" s="1"/>
  <c r="N233" i="76"/>
  <c r="E232" i="76"/>
  <c r="G230" i="76"/>
  <c r="M228" i="76"/>
  <c r="F222" i="76"/>
  <c r="I222" i="76" s="1"/>
  <c r="C220" i="76"/>
  <c r="G217" i="76"/>
  <c r="J217" i="76" s="1"/>
  <c r="D204" i="76"/>
  <c r="E193" i="76"/>
  <c r="D186" i="76"/>
  <c r="G186" i="76" s="1"/>
  <c r="L183" i="76"/>
  <c r="F171" i="76"/>
  <c r="O161" i="76"/>
  <c r="K160" i="76"/>
  <c r="F159" i="76"/>
  <c r="P157" i="76"/>
  <c r="L156" i="76"/>
  <c r="G155" i="76"/>
  <c r="Q153" i="76"/>
  <c r="M152" i="76"/>
  <c r="I151" i="76"/>
  <c r="D150" i="76"/>
  <c r="E150" i="76" s="1"/>
  <c r="N148" i="76"/>
  <c r="J147" i="76"/>
  <c r="I141" i="76"/>
  <c r="L141" i="76" s="1"/>
  <c r="I139" i="76"/>
  <c r="L139" i="76" s="1"/>
  <c r="I137" i="76"/>
  <c r="L137" i="76" s="1"/>
  <c r="I135" i="76"/>
  <c r="L135" i="76" s="1"/>
  <c r="H133" i="76"/>
  <c r="K133" i="76" s="1"/>
  <c r="H131" i="76"/>
  <c r="K131" i="76" s="1"/>
  <c r="H129" i="76"/>
  <c r="K129" i="76" s="1"/>
  <c r="G127" i="76"/>
  <c r="J127" i="76" s="1"/>
  <c r="D117" i="76"/>
  <c r="G117" i="76" s="1"/>
  <c r="H115" i="76"/>
  <c r="B114" i="76"/>
  <c r="E114" i="76" s="1"/>
  <c r="L100" i="76"/>
  <c r="G99" i="76"/>
  <c r="M97" i="76"/>
  <c r="L114" i="76" s="1"/>
  <c r="H96" i="76"/>
  <c r="B95" i="76"/>
  <c r="I93" i="76"/>
  <c r="D92" i="76"/>
  <c r="B81" i="76"/>
  <c r="C81" i="76" s="1"/>
  <c r="N79" i="76"/>
  <c r="L78" i="76"/>
  <c r="J77" i="76"/>
  <c r="H76" i="76"/>
  <c r="F75" i="76"/>
  <c r="D74" i="76"/>
  <c r="B73" i="76"/>
  <c r="D66" i="76"/>
  <c r="F64" i="76"/>
  <c r="I64" i="76" s="1"/>
  <c r="C59" i="76"/>
  <c r="G43" i="76"/>
  <c r="G35" i="76"/>
  <c r="H24" i="76"/>
  <c r="H20" i="76"/>
  <c r="J306" i="76"/>
  <c r="F302" i="76"/>
  <c r="J296" i="76"/>
  <c r="H293" i="76"/>
  <c r="F290" i="76"/>
  <c r="F287" i="76"/>
  <c r="I284" i="76"/>
  <c r="L281" i="76"/>
  <c r="D271" i="76"/>
  <c r="D248" i="76"/>
  <c r="G248" i="76" s="1"/>
  <c r="D245" i="76"/>
  <c r="G245" i="76" s="1"/>
  <c r="M233" i="76"/>
  <c r="F230" i="76"/>
  <c r="L228" i="76"/>
  <c r="E222" i="76"/>
  <c r="F217" i="76"/>
  <c r="I217" i="76" s="1"/>
  <c r="D198" i="76"/>
  <c r="D193" i="76"/>
  <c r="L185" i="76"/>
  <c r="J183" i="76"/>
  <c r="F179" i="76"/>
  <c r="I179" i="76" s="1"/>
  <c r="I306" i="76"/>
  <c r="D302" i="76"/>
  <c r="I296" i="76"/>
  <c r="G293" i="76"/>
  <c r="E290" i="76"/>
  <c r="E287" i="76"/>
  <c r="F284" i="76"/>
  <c r="K281" i="76"/>
  <c r="L276" i="76"/>
  <c r="L273" i="76"/>
  <c r="L270" i="76"/>
  <c r="L247" i="76"/>
  <c r="J244" i="76"/>
  <c r="L233" i="76"/>
  <c r="N231" i="76"/>
  <c r="E230" i="76"/>
  <c r="H228" i="76"/>
  <c r="D222" i="76"/>
  <c r="D217" i="76"/>
  <c r="E203" i="76"/>
  <c r="K185" i="76"/>
  <c r="E179" i="76"/>
  <c r="H179" i="76" s="1"/>
  <c r="H306" i="76"/>
  <c r="L301" i="76"/>
  <c r="H296" i="76"/>
  <c r="F293" i="76"/>
  <c r="D290" i="76"/>
  <c r="D287" i="76"/>
  <c r="D284" i="76"/>
  <c r="G281" i="76"/>
  <c r="J276" i="76"/>
  <c r="K273" i="76"/>
  <c r="K270" i="76"/>
  <c r="E256" i="76"/>
  <c r="K247" i="76"/>
  <c r="K233" i="76"/>
  <c r="K231" i="76"/>
  <c r="G228" i="76"/>
  <c r="C222" i="76"/>
  <c r="G219" i="76"/>
  <c r="J219" i="76" s="1"/>
  <c r="C217" i="76"/>
  <c r="E306" i="76"/>
  <c r="K301" i="76"/>
  <c r="F296" i="76"/>
  <c r="D293" i="76"/>
  <c r="L289" i="76"/>
  <c r="D281" i="76"/>
  <c r="I276" i="76"/>
  <c r="J273" i="76"/>
  <c r="J270" i="76"/>
  <c r="J247" i="76"/>
  <c r="J233" i="76"/>
  <c r="J231" i="76"/>
  <c r="C230" i="76"/>
  <c r="D230" i="76" s="1"/>
  <c r="E228" i="76"/>
  <c r="E219" i="76"/>
  <c r="D208" i="76"/>
  <c r="D197" i="76"/>
  <c r="F183" i="76"/>
  <c r="I183" i="76" s="1"/>
  <c r="D181" i="76"/>
  <c r="G181" i="76" s="1"/>
  <c r="L178" i="76"/>
  <c r="F305" i="76"/>
  <c r="J301" i="76"/>
  <c r="E296" i="76"/>
  <c r="K289" i="76"/>
  <c r="L286" i="76"/>
  <c r="L283" i="76"/>
  <c r="E276" i="76"/>
  <c r="H273" i="76"/>
  <c r="I270" i="76"/>
  <c r="F244" i="76"/>
  <c r="I244" i="76" s="1"/>
  <c r="I233" i="76"/>
  <c r="I231" i="76"/>
  <c r="O229" i="76"/>
  <c r="D219" i="76"/>
  <c r="D202" i="76"/>
  <c r="E183" i="76"/>
  <c r="H183" i="76" s="1"/>
  <c r="L180" i="76"/>
  <c r="K178" i="76"/>
  <c r="K176" i="76"/>
  <c r="J174" i="76"/>
  <c r="J172" i="76"/>
  <c r="M162" i="76"/>
  <c r="I161" i="76"/>
  <c r="O158" i="76"/>
  <c r="J157" i="76"/>
  <c r="F156" i="76"/>
  <c r="P154" i="76"/>
  <c r="K153" i="76"/>
  <c r="G152" i="76"/>
  <c r="Q150" i="76"/>
  <c r="M149" i="76"/>
  <c r="H148" i="76"/>
  <c r="D147" i="76"/>
  <c r="D141" i="76"/>
  <c r="I116" i="76"/>
  <c r="C115" i="76"/>
  <c r="F115" i="76" s="1"/>
  <c r="H113" i="76"/>
  <c r="B112" i="76"/>
  <c r="E112" i="76" s="1"/>
  <c r="G100" i="76"/>
  <c r="M98" i="76"/>
  <c r="L115" i="76" s="1"/>
  <c r="H97" i="76"/>
  <c r="B96" i="76"/>
  <c r="I94" i="76"/>
  <c r="D93" i="76"/>
  <c r="M81" i="76"/>
  <c r="K80" i="76"/>
  <c r="I79" i="76"/>
  <c r="G78" i="76"/>
  <c r="E77" i="76"/>
  <c r="O74" i="76"/>
  <c r="M73" i="76"/>
  <c r="C62" i="76"/>
  <c r="E60" i="76"/>
  <c r="H60" i="76" s="1"/>
  <c r="G58" i="76"/>
  <c r="G41" i="76"/>
  <c r="D305" i="76"/>
  <c r="H301" i="76"/>
  <c r="H295" i="76"/>
  <c r="F292" i="76"/>
  <c r="G289" i="76"/>
  <c r="J286" i="76"/>
  <c r="K283" i="76"/>
  <c r="L275" i="76"/>
  <c r="G273" i="76"/>
  <c r="H270" i="76"/>
  <c r="E261" i="76"/>
  <c r="G261" i="76" s="1"/>
  <c r="E244" i="76"/>
  <c r="H244" i="76" s="1"/>
  <c r="P234" i="76"/>
  <c r="G233" i="76"/>
  <c r="H231" i="76"/>
  <c r="N229" i="76"/>
  <c r="C228" i="76"/>
  <c r="H221" i="76"/>
  <c r="K221" i="76" s="1"/>
  <c r="E207" i="76"/>
  <c r="G301" i="76"/>
  <c r="F295" i="76"/>
  <c r="D292" i="76"/>
  <c r="D289" i="76"/>
  <c r="I286" i="76"/>
  <c r="J283" i="76"/>
  <c r="J275" i="76"/>
  <c r="F270" i="76"/>
  <c r="D261" i="76"/>
  <c r="F261" i="76" s="1"/>
  <c r="F247" i="76"/>
  <c r="I247" i="76" s="1"/>
  <c r="D244" i="76"/>
  <c r="G244" i="76" s="1"/>
  <c r="O234" i="76"/>
  <c r="F233" i="76"/>
  <c r="G231" i="76"/>
  <c r="L304" i="76"/>
  <c r="J300" i="76"/>
  <c r="E295" i="76"/>
  <c r="L288" i="76"/>
  <c r="E286" i="76"/>
  <c r="H283" i="76"/>
  <c r="I275" i="76"/>
  <c r="J272" i="76"/>
  <c r="E270" i="76"/>
  <c r="K249" i="76"/>
  <c r="K246" i="76"/>
  <c r="K243" i="76"/>
  <c r="I304" i="76"/>
  <c r="H300" i="76"/>
  <c r="D295" i="76"/>
  <c r="L291" i="76"/>
  <c r="K288" i="76"/>
  <c r="L285" i="76"/>
  <c r="G283" i="76"/>
  <c r="H275" i="76"/>
  <c r="H272" i="76"/>
  <c r="J249" i="76"/>
  <c r="J243" i="76"/>
  <c r="M234" i="76"/>
  <c r="M232" i="76"/>
  <c r="E231" i="76"/>
  <c r="G229" i="76"/>
  <c r="H218" i="76"/>
  <c r="K218" i="76" s="1"/>
  <c r="E216" i="76"/>
  <c r="D206" i="76"/>
  <c r="L186" i="76"/>
  <c r="K184" i="76"/>
  <c r="F178" i="76"/>
  <c r="I178" i="76" s="1"/>
  <c r="F176" i="76"/>
  <c r="I176" i="76" s="1"/>
  <c r="F174" i="76"/>
  <c r="I174" i="76" s="1"/>
  <c r="E172" i="76"/>
  <c r="H172" i="76" s="1"/>
  <c r="I162" i="76"/>
  <c r="N159" i="76"/>
  <c r="J158" i="76"/>
  <c r="F157" i="76"/>
  <c r="O155" i="76"/>
  <c r="K154" i="76"/>
  <c r="G153" i="76"/>
  <c r="Q151" i="76"/>
  <c r="L150" i="76"/>
  <c r="H149" i="76"/>
  <c r="D148" i="76"/>
  <c r="E148" i="76" s="1"/>
  <c r="H140" i="76"/>
  <c r="K140" i="76" s="1"/>
  <c r="J303" i="76"/>
  <c r="E300" i="76"/>
  <c r="L294" i="76"/>
  <c r="J291" i="76"/>
  <c r="I288" i="76"/>
  <c r="I285" i="76"/>
  <c r="J282" i="76"/>
  <c r="H303" i="76"/>
  <c r="D300" i="76"/>
  <c r="J294" i="76"/>
  <c r="H291" i="76"/>
  <c r="L303" i="76"/>
  <c r="J288" i="76"/>
  <c r="K277" i="76"/>
  <c r="C231" i="76"/>
  <c r="D231" i="76" s="1"/>
  <c r="G218" i="76"/>
  <c r="J218" i="76" s="1"/>
  <c r="D199" i="76"/>
  <c r="J186" i="76"/>
  <c r="D183" i="76"/>
  <c r="G183" i="76" s="1"/>
  <c r="K179" i="76"/>
  <c r="L176" i="76"/>
  <c r="K171" i="76"/>
  <c r="M161" i="76"/>
  <c r="D160" i="76"/>
  <c r="E160" i="76" s="1"/>
  <c r="I158" i="76"/>
  <c r="O156" i="76"/>
  <c r="F155" i="76"/>
  <c r="M153" i="76"/>
  <c r="D152" i="76"/>
  <c r="E152" i="76" s="1"/>
  <c r="I150" i="76"/>
  <c r="O148" i="76"/>
  <c r="F147" i="76"/>
  <c r="G138" i="76"/>
  <c r="J138" i="76" s="1"/>
  <c r="D136" i="76"/>
  <c r="G131" i="76"/>
  <c r="J131" i="76" s="1"/>
  <c r="D129" i="76"/>
  <c r="D116" i="76"/>
  <c r="G116" i="76" s="1"/>
  <c r="I112" i="76"/>
  <c r="C109" i="76"/>
  <c r="F100" i="76"/>
  <c r="J98" i="76"/>
  <c r="B97" i="76"/>
  <c r="G95" i="76"/>
  <c r="K93" i="76"/>
  <c r="B92" i="76"/>
  <c r="O81" i="76"/>
  <c r="J80" i="76"/>
  <c r="F79" i="76"/>
  <c r="B78" i="76"/>
  <c r="C78" i="76" s="1"/>
  <c r="L76" i="76"/>
  <c r="H75" i="76"/>
  <c r="G65" i="76"/>
  <c r="J65" i="76" s="1"/>
  <c r="G63" i="76"/>
  <c r="J63" i="76" s="1"/>
  <c r="G61" i="76"/>
  <c r="J61" i="76" s="1"/>
  <c r="G59" i="76"/>
  <c r="J59" i="76" s="1"/>
  <c r="J23" i="76"/>
  <c r="H19" i="76"/>
  <c r="F65" i="76"/>
  <c r="I65" i="76" s="1"/>
  <c r="H23" i="76"/>
  <c r="F19" i="76"/>
  <c r="D200" i="76"/>
  <c r="M158" i="76"/>
  <c r="F97" i="76"/>
  <c r="J290" i="76"/>
  <c r="E208" i="76"/>
  <c r="P161" i="76"/>
  <c r="Q156" i="76"/>
  <c r="Q148" i="76"/>
  <c r="I138" i="76"/>
  <c r="L138" i="76" s="1"/>
  <c r="D127" i="76"/>
  <c r="E97" i="76"/>
  <c r="M93" i="76"/>
  <c r="L110" i="76" s="1"/>
  <c r="D78" i="76"/>
  <c r="G303" i="76"/>
  <c r="H288" i="76"/>
  <c r="H277" i="76"/>
  <c r="L269" i="76"/>
  <c r="N234" i="76"/>
  <c r="P230" i="76"/>
  <c r="F218" i="76"/>
  <c r="I218" i="76" s="1"/>
  <c r="E197" i="76"/>
  <c r="K182" i="76"/>
  <c r="J179" i="76"/>
  <c r="E174" i="76"/>
  <c r="H174" i="76" s="1"/>
  <c r="J171" i="76"/>
  <c r="K161" i="76"/>
  <c r="Q159" i="76"/>
  <c r="H158" i="76"/>
  <c r="N156" i="76"/>
  <c r="J153" i="76"/>
  <c r="O151" i="76"/>
  <c r="H150" i="76"/>
  <c r="M148" i="76"/>
  <c r="I140" i="76"/>
  <c r="L140" i="76" s="1"/>
  <c r="F138" i="76"/>
  <c r="I133" i="76"/>
  <c r="L133" i="76" s="1"/>
  <c r="F131" i="76"/>
  <c r="H126" i="76"/>
  <c r="B116" i="76"/>
  <c r="E116" i="76" s="1"/>
  <c r="H112" i="76"/>
  <c r="J110" i="76"/>
  <c r="B109" i="76"/>
  <c r="E100" i="76"/>
  <c r="I98" i="76"/>
  <c r="M96" i="76"/>
  <c r="L113" i="76" s="1"/>
  <c r="F95" i="76"/>
  <c r="J93" i="76"/>
  <c r="N81" i="76"/>
  <c r="I80" i="76"/>
  <c r="E79" i="76"/>
  <c r="O77" i="76"/>
  <c r="K76" i="76"/>
  <c r="G75" i="76"/>
  <c r="B74" i="76"/>
  <c r="C74" i="76" s="1"/>
  <c r="F63" i="76"/>
  <c r="I63" i="76" s="1"/>
  <c r="F61" i="76"/>
  <c r="I61" i="76" s="1"/>
  <c r="F59" i="76"/>
  <c r="I59" i="76" s="1"/>
  <c r="G44" i="76"/>
  <c r="F303" i="76"/>
  <c r="F288" i="76"/>
  <c r="F277" i="76"/>
  <c r="I269" i="76"/>
  <c r="E249" i="76"/>
  <c r="H249" i="76" s="1"/>
  <c r="L234" i="76"/>
  <c r="L230" i="76"/>
  <c r="E218" i="76"/>
  <c r="E205" i="76"/>
  <c r="J182" i="76"/>
  <c r="L173" i="76"/>
  <c r="J161" i="76"/>
  <c r="O159" i="76"/>
  <c r="G158" i="76"/>
  <c r="M156" i="76"/>
  <c r="D155" i="76"/>
  <c r="E155" i="76" s="1"/>
  <c r="I153" i="76"/>
  <c r="N151" i="76"/>
  <c r="G150" i="76"/>
  <c r="L148" i="76"/>
  <c r="G140" i="76"/>
  <c r="J140" i="76" s="1"/>
  <c r="D138" i="76"/>
  <c r="G133" i="76"/>
  <c r="J133" i="76" s="1"/>
  <c r="E131" i="76"/>
  <c r="G126" i="76"/>
  <c r="D114" i="76"/>
  <c r="G114" i="76" s="1"/>
  <c r="I110" i="76"/>
  <c r="D100" i="76"/>
  <c r="H98" i="76"/>
  <c r="L96" i="76"/>
  <c r="E95" i="76"/>
  <c r="H93" i="76"/>
  <c r="L81" i="76"/>
  <c r="H80" i="76"/>
  <c r="D79" i="76"/>
  <c r="N77" i="76"/>
  <c r="J76" i="76"/>
  <c r="E75" i="76"/>
  <c r="O73" i="76"/>
  <c r="E65" i="76"/>
  <c r="H65" i="76" s="1"/>
  <c r="E63" i="76"/>
  <c r="H63" i="76" s="1"/>
  <c r="E61" i="76"/>
  <c r="H61" i="76" s="1"/>
  <c r="E59" i="76"/>
  <c r="H59" i="76" s="1"/>
  <c r="F23" i="76"/>
  <c r="L18" i="76"/>
  <c r="F282" i="76"/>
  <c r="P153" i="76"/>
  <c r="K75" i="76"/>
  <c r="F20" i="76"/>
  <c r="E282" i="76"/>
  <c r="D184" i="76"/>
  <c r="G184" i="76" s="1"/>
  <c r="D172" i="76"/>
  <c r="G172" i="76" s="1"/>
  <c r="O153" i="76"/>
  <c r="D134" i="76"/>
  <c r="I100" i="76"/>
  <c r="M80" i="76"/>
  <c r="D303" i="76"/>
  <c r="E288" i="76"/>
  <c r="E277" i="76"/>
  <c r="G269" i="76"/>
  <c r="D249" i="76"/>
  <c r="G249" i="76" s="1"/>
  <c r="K234" i="76"/>
  <c r="K230" i="76"/>
  <c r="C218" i="76"/>
  <c r="D205" i="76"/>
  <c r="E196" i="76"/>
  <c r="F186" i="76"/>
  <c r="I186" i="76" s="1"/>
  <c r="D179" i="76"/>
  <c r="G179" i="76" s="1"/>
  <c r="K173" i="76"/>
  <c r="Q162" i="76"/>
  <c r="H161" i="76"/>
  <c r="M159" i="76"/>
  <c r="K156" i="76"/>
  <c r="Q154" i="76"/>
  <c r="H153" i="76"/>
  <c r="M151" i="76"/>
  <c r="K148" i="76"/>
  <c r="F140" i="76"/>
  <c r="F133" i="76"/>
  <c r="I128" i="76"/>
  <c r="L128" i="76" s="1"/>
  <c r="F126" i="76"/>
  <c r="J117" i="76"/>
  <c r="C114" i="76"/>
  <c r="F114" i="76" s="1"/>
  <c r="H110" i="76"/>
  <c r="B100" i="76"/>
  <c r="G98" i="76"/>
  <c r="K96" i="76"/>
  <c r="D95" i="76"/>
  <c r="G93" i="76"/>
  <c r="K81" i="76"/>
  <c r="G80" i="76"/>
  <c r="M77" i="76"/>
  <c r="I76" i="76"/>
  <c r="D75" i="76"/>
  <c r="N73" i="76"/>
  <c r="D65" i="76"/>
  <c r="D63" i="76"/>
  <c r="D61" i="76"/>
  <c r="D59" i="76"/>
  <c r="L22" i="76"/>
  <c r="J18" i="76"/>
  <c r="D220" i="76"/>
  <c r="Q161" i="76"/>
  <c r="H136" i="76"/>
  <c r="K136" i="76" s="1"/>
  <c r="G92" i="76"/>
  <c r="J24" i="76"/>
  <c r="F152" i="76"/>
  <c r="H114" i="76"/>
  <c r="J75" i="76"/>
  <c r="F300" i="76"/>
  <c r="K287" i="76"/>
  <c r="G275" i="76"/>
  <c r="F269" i="76"/>
  <c r="I234" i="76"/>
  <c r="I230" i="76"/>
  <c r="D196" i="76"/>
  <c r="E186" i="76"/>
  <c r="H186" i="76" s="1"/>
  <c r="J178" i="76"/>
  <c r="E176" i="76"/>
  <c r="H176" i="76" s="1"/>
  <c r="J173" i="76"/>
  <c r="E171" i="76"/>
  <c r="P162" i="76"/>
  <c r="G161" i="76"/>
  <c r="L159" i="76"/>
  <c r="D158" i="76"/>
  <c r="E158" i="76" s="1"/>
  <c r="I156" i="76"/>
  <c r="O154" i="76"/>
  <c r="F153" i="76"/>
  <c r="L151" i="76"/>
  <c r="Q149" i="76"/>
  <c r="I148" i="76"/>
  <c r="E140" i="76"/>
  <c r="G135" i="76"/>
  <c r="J135" i="76" s="1"/>
  <c r="E133" i="76"/>
  <c r="H128" i="76"/>
  <c r="K128" i="76" s="1"/>
  <c r="E126" i="76"/>
  <c r="I117" i="76"/>
  <c r="J115" i="76"/>
  <c r="D112" i="76"/>
  <c r="G112" i="76" s="1"/>
  <c r="M99" i="76"/>
  <c r="L116" i="76" s="1"/>
  <c r="F98" i="76"/>
  <c r="J96" i="76"/>
  <c r="M94" i="76"/>
  <c r="L111" i="76" s="1"/>
  <c r="F93" i="76"/>
  <c r="J81" i="76"/>
  <c r="F80" i="76"/>
  <c r="B79" i="76"/>
  <c r="C79" i="76" s="1"/>
  <c r="L77" i="76"/>
  <c r="G76" i="76"/>
  <c r="L73" i="76"/>
  <c r="C65" i="76"/>
  <c r="C63" i="76"/>
  <c r="C61" i="76"/>
  <c r="B59" i="76"/>
  <c r="G42" i="76"/>
  <c r="J31" i="76"/>
  <c r="J22" i="76"/>
  <c r="H18" i="76"/>
  <c r="D272" i="76"/>
  <c r="K155" i="76"/>
  <c r="I129" i="76"/>
  <c r="L129" i="76" s="1"/>
  <c r="B94" i="76"/>
  <c r="L271" i="76"/>
  <c r="E180" i="76"/>
  <c r="H180" i="76" s="1"/>
  <c r="L158" i="76"/>
  <c r="K150" i="76"/>
  <c r="E141" i="76"/>
  <c r="G129" i="76"/>
  <c r="J129" i="76" s="1"/>
  <c r="C111" i="76"/>
  <c r="F111" i="76" s="1"/>
  <c r="I95" i="76"/>
  <c r="F92" i="76"/>
  <c r="N76" i="76"/>
  <c r="F74" i="76"/>
  <c r="J285" i="76"/>
  <c r="F275" i="76"/>
  <c r="E269" i="76"/>
  <c r="F246" i="76"/>
  <c r="I246" i="76" s="1"/>
  <c r="H234" i="76"/>
  <c r="H230" i="76"/>
  <c r="G222" i="76"/>
  <c r="J222" i="76" s="1"/>
  <c r="E195" i="76"/>
  <c r="J185" i="76"/>
  <c r="F182" i="76"/>
  <c r="I182" i="76" s="1"/>
  <c r="D176" i="76"/>
  <c r="G176" i="76" s="1"/>
  <c r="D171" i="76"/>
  <c r="O162" i="76"/>
  <c r="F161" i="76"/>
  <c r="K159" i="76"/>
  <c r="Q157" i="76"/>
  <c r="H156" i="76"/>
  <c r="M154" i="76"/>
  <c r="K151" i="76"/>
  <c r="P149" i="76"/>
  <c r="G148" i="76"/>
  <c r="D140" i="76"/>
  <c r="F135" i="76"/>
  <c r="D133" i="76"/>
  <c r="I130" i="76"/>
  <c r="L130" i="76" s="1"/>
  <c r="F128" i="76"/>
  <c r="D126" i="76"/>
  <c r="I115" i="76"/>
  <c r="C112" i="76"/>
  <c r="F112" i="76" s="1"/>
  <c r="D110" i="76"/>
  <c r="G110" i="76" s="1"/>
  <c r="L99" i="76"/>
  <c r="E98" i="76"/>
  <c r="I96" i="76"/>
  <c r="L94" i="76"/>
  <c r="E93" i="76"/>
  <c r="I81" i="76"/>
  <c r="E80" i="76"/>
  <c r="O78" i="76"/>
  <c r="K77" i="76"/>
  <c r="F76" i="76"/>
  <c r="B75" i="76"/>
  <c r="C75" i="76" s="1"/>
  <c r="K73" i="76"/>
  <c r="B65" i="76"/>
  <c r="B63" i="76"/>
  <c r="B61" i="76"/>
  <c r="K41" i="76"/>
  <c r="H31" i="76"/>
  <c r="H22" i="76"/>
  <c r="F18" i="76"/>
  <c r="G291" i="76"/>
  <c r="E184" i="76"/>
  <c r="H184" i="76" s="1"/>
  <c r="F177" i="76"/>
  <c r="I177" i="76" s="1"/>
  <c r="H160" i="76"/>
  <c r="H152" i="76"/>
  <c r="M150" i="76"/>
  <c r="F141" i="76"/>
  <c r="E134" i="76"/>
  <c r="E127" i="76"/>
  <c r="J114" i="76"/>
  <c r="D111" i="76"/>
  <c r="G111" i="76" s="1"/>
  <c r="J100" i="76"/>
  <c r="J95" i="76"/>
  <c r="N80" i="76"/>
  <c r="E78" i="76"/>
  <c r="O76" i="76"/>
  <c r="G74" i="76"/>
  <c r="B66" i="76"/>
  <c r="B64" i="76"/>
  <c r="H285" i="76"/>
  <c r="D275" i="76"/>
  <c r="D269" i="76"/>
  <c r="E246" i="76"/>
  <c r="H246" i="76" s="1"/>
  <c r="J229" i="76"/>
  <c r="G221" i="76"/>
  <c r="J221" i="76" s="1"/>
  <c r="H216" i="76"/>
  <c r="E204" i="76"/>
  <c r="D195" i="76"/>
  <c r="E185" i="76"/>
  <c r="H185" i="76" s="1"/>
  <c r="E182" i="76"/>
  <c r="H182" i="76" s="1"/>
  <c r="L175" i="76"/>
  <c r="L162" i="76"/>
  <c r="Q160" i="76"/>
  <c r="J159" i="76"/>
  <c r="O157" i="76"/>
  <c r="G156" i="76"/>
  <c r="L154" i="76"/>
  <c r="Q152" i="76"/>
  <c r="J151" i="76"/>
  <c r="O149" i="76"/>
  <c r="F148" i="76"/>
  <c r="H137" i="76"/>
  <c r="K137" i="76" s="1"/>
  <c r="E135" i="76"/>
  <c r="H130" i="76"/>
  <c r="K130" i="76" s="1"/>
  <c r="E128" i="76"/>
  <c r="J113" i="76"/>
  <c r="C110" i="76"/>
  <c r="F110" i="76" s="1"/>
  <c r="K99" i="76"/>
  <c r="D98" i="76"/>
  <c r="G96" i="76"/>
  <c r="K94" i="76"/>
  <c r="B93" i="76"/>
  <c r="H81" i="76"/>
  <c r="D80" i="76"/>
  <c r="N78" i="76"/>
  <c r="I77" i="76"/>
  <c r="E76" i="76"/>
  <c r="N74" i="76"/>
  <c r="J73" i="76"/>
  <c r="K40" i="76"/>
  <c r="F31" i="76"/>
  <c r="F22" i="76"/>
  <c r="L17" i="76"/>
  <c r="O228" i="76"/>
  <c r="K147" i="76"/>
  <c r="B99" i="76"/>
  <c r="G37" i="76"/>
  <c r="G232" i="76"/>
  <c r="E177" i="76"/>
  <c r="H177" i="76" s="1"/>
  <c r="J155" i="76"/>
  <c r="F136" i="76"/>
  <c r="H79" i="76"/>
  <c r="G285" i="76"/>
  <c r="D246" i="76"/>
  <c r="G246" i="76" s="1"/>
  <c r="O233" i="76"/>
  <c r="I229" i="76"/>
  <c r="C221" i="76"/>
  <c r="G216" i="76"/>
  <c r="D203" i="76"/>
  <c r="D185" i="76"/>
  <c r="G185" i="76" s="1"/>
  <c r="L181" i="76"/>
  <c r="E178" i="76"/>
  <c r="H178" i="76" s="1"/>
  <c r="J175" i="76"/>
  <c r="F173" i="76"/>
  <c r="I173" i="76" s="1"/>
  <c r="K162" i="76"/>
  <c r="P160" i="76"/>
  <c r="I159" i="76"/>
  <c r="N157" i="76"/>
  <c r="J154" i="76"/>
  <c r="P152" i="76"/>
  <c r="G151" i="76"/>
  <c r="N149" i="76"/>
  <c r="G137" i="76"/>
  <c r="J137" i="76" s="1"/>
  <c r="D135" i="76"/>
  <c r="I132" i="76"/>
  <c r="L132" i="76" s="1"/>
  <c r="G130" i="76"/>
  <c r="J130" i="76" s="1"/>
  <c r="D128" i="76"/>
  <c r="I113" i="76"/>
  <c r="B110" i="76"/>
  <c r="E110" i="76" s="1"/>
  <c r="J99" i="76"/>
  <c r="B98" i="76"/>
  <c r="F96" i="76"/>
  <c r="J94" i="76"/>
  <c r="M92" i="76"/>
  <c r="G81" i="76"/>
  <c r="M78" i="76"/>
  <c r="H77" i="76"/>
  <c r="D76" i="76"/>
  <c r="M74" i="76"/>
  <c r="I73" i="76"/>
  <c r="G40" i="76"/>
  <c r="L21" i="76"/>
  <c r="J17" i="76"/>
  <c r="H232" i="76"/>
  <c r="J79" i="76"/>
  <c r="F16" i="76"/>
  <c r="E257" i="76"/>
  <c r="G257" i="76" s="1"/>
  <c r="G160" i="76"/>
  <c r="I147" i="76"/>
  <c r="L98" i="76"/>
  <c r="F285" i="76"/>
  <c r="I274" i="76"/>
  <c r="L245" i="76"/>
  <c r="P232" i="76"/>
  <c r="F229" i="76"/>
  <c r="D216" i="76"/>
  <c r="E194" i="76"/>
  <c r="L184" i="76"/>
  <c r="K181" i="76"/>
  <c r="D178" i="76"/>
  <c r="G178" i="76" s="1"/>
  <c r="D173" i="76"/>
  <c r="G173" i="76" s="1"/>
  <c r="J162" i="76"/>
  <c r="O160" i="76"/>
  <c r="G159" i="76"/>
  <c r="M157" i="76"/>
  <c r="D156" i="76"/>
  <c r="E156" i="76" s="1"/>
  <c r="I154" i="76"/>
  <c r="O152" i="76"/>
  <c r="F151" i="76"/>
  <c r="K149" i="76"/>
  <c r="Q147" i="76"/>
  <c r="H139" i="76"/>
  <c r="K139" i="76" s="1"/>
  <c r="E137" i="76"/>
  <c r="H132" i="76"/>
  <c r="K132" i="76" s="1"/>
  <c r="F130" i="76"/>
  <c r="C117" i="76"/>
  <c r="F117" i="76" s="1"/>
  <c r="I111" i="76"/>
  <c r="I99" i="76"/>
  <c r="L97" i="76"/>
  <c r="E96" i="76"/>
  <c r="H94" i="76"/>
  <c r="L92" i="76"/>
  <c r="F81" i="76"/>
  <c r="B80" i="76"/>
  <c r="C80" i="76" s="1"/>
  <c r="K78" i="76"/>
  <c r="G77" i="76"/>
  <c r="B76" i="76"/>
  <c r="C76" i="76" s="1"/>
  <c r="L74" i="76"/>
  <c r="H73" i="76"/>
  <c r="G62" i="76"/>
  <c r="J62" i="76" s="1"/>
  <c r="G60" i="76"/>
  <c r="J60" i="76" s="1"/>
  <c r="F58" i="76"/>
  <c r="K39" i="76"/>
  <c r="J21" i="76"/>
  <c r="H17" i="76"/>
  <c r="K174" i="76"/>
  <c r="I294" i="76"/>
  <c r="D285" i="76"/>
  <c r="F274" i="76"/>
  <c r="E260" i="76"/>
  <c r="G260" i="76" s="1"/>
  <c r="K245" i="76"/>
  <c r="L232" i="76"/>
  <c r="E229" i="76"/>
  <c r="H220" i="76"/>
  <c r="K220" i="76" s="1"/>
  <c r="E201" i="76"/>
  <c r="D194" i="76"/>
  <c r="F181" i="76"/>
  <c r="I181" i="76" s="1"/>
  <c r="L177" i="76"/>
  <c r="L172" i="76"/>
  <c r="H162" i="76"/>
  <c r="N160" i="76"/>
  <c r="K157" i="76"/>
  <c r="Q155" i="76"/>
  <c r="H154" i="76"/>
  <c r="N152" i="76"/>
  <c r="J149" i="76"/>
  <c r="O147" i="76"/>
  <c r="G139" i="76"/>
  <c r="J139" i="76" s="1"/>
  <c r="D137" i="76"/>
  <c r="G132" i="76"/>
  <c r="J132" i="76" s="1"/>
  <c r="D130" i="76"/>
  <c r="B117" i="76"/>
  <c r="E117" i="76" s="1"/>
  <c r="D115" i="76"/>
  <c r="G115" i="76" s="1"/>
  <c r="H111" i="76"/>
  <c r="H99" i="76"/>
  <c r="K97" i="76"/>
  <c r="D96" i="76"/>
  <c r="G94" i="76"/>
  <c r="K92" i="76"/>
  <c r="E81" i="76"/>
  <c r="O79" i="76"/>
  <c r="J78" i="76"/>
  <c r="F77" i="76"/>
  <c r="O75" i="76"/>
  <c r="K74" i="76"/>
  <c r="G73" i="76"/>
  <c r="G66" i="76"/>
  <c r="J66" i="76" s="1"/>
  <c r="G64" i="76"/>
  <c r="J64" i="76" s="1"/>
  <c r="F62" i="76"/>
  <c r="I62" i="76" s="1"/>
  <c r="F60" i="76"/>
  <c r="I60" i="76" s="1"/>
  <c r="E58" i="76"/>
  <c r="G39" i="76"/>
  <c r="H21" i="76"/>
  <c r="F17" i="76"/>
  <c r="L293" i="76"/>
  <c r="G272" i="76"/>
  <c r="K232" i="76"/>
  <c r="G220" i="76"/>
  <c r="J220" i="76" s="1"/>
  <c r="D201" i="76"/>
  <c r="K180" i="76"/>
  <c r="K177" i="76"/>
  <c r="F175" i="76"/>
  <c r="I175" i="76" s="1"/>
  <c r="K172" i="76"/>
  <c r="G162" i="76"/>
  <c r="M160" i="76"/>
  <c r="D159" i="76"/>
  <c r="E159" i="76" s="1"/>
  <c r="I157" i="76"/>
  <c r="N155" i="76"/>
  <c r="G154" i="76"/>
  <c r="L152" i="76"/>
  <c r="D151" i="76"/>
  <c r="E151" i="76" s="1"/>
  <c r="I149" i="76"/>
  <c r="N147" i="76"/>
  <c r="F139" i="76"/>
  <c r="H134" i="76"/>
  <c r="K134" i="76" s="1"/>
  <c r="F132" i="76"/>
  <c r="B115" i="76"/>
  <c r="E115" i="76" s="1"/>
  <c r="J109" i="76"/>
  <c r="F99" i="76"/>
  <c r="J97" i="76"/>
  <c r="M95" i="76"/>
  <c r="L112" i="76" s="1"/>
  <c r="F94" i="76"/>
  <c r="J92" i="76"/>
  <c r="D81" i="76"/>
  <c r="M79" i="76"/>
  <c r="I78" i="76"/>
  <c r="D77" i="76"/>
  <c r="N75" i="76"/>
  <c r="J74" i="76"/>
  <c r="F73" i="76"/>
  <c r="F66" i="76"/>
  <c r="I66" i="76" s="1"/>
  <c r="E64" i="76"/>
  <c r="H64" i="76" s="1"/>
  <c r="E62" i="76"/>
  <c r="H62" i="76" s="1"/>
  <c r="D60" i="76"/>
  <c r="D58" i="76"/>
  <c r="F21" i="76"/>
  <c r="L16" i="76"/>
  <c r="J293" i="76"/>
  <c r="H282" i="76"/>
  <c r="F272" i="76"/>
  <c r="F243" i="76"/>
  <c r="J232" i="76"/>
  <c r="C229" i="76"/>
  <c r="D229" i="76" s="1"/>
  <c r="F220" i="76"/>
  <c r="I220" i="76" s="1"/>
  <c r="J180" i="76"/>
  <c r="J177" i="76"/>
  <c r="E175" i="76"/>
  <c r="H175" i="76" s="1"/>
  <c r="L160" i="76"/>
  <c r="Q158" i="76"/>
  <c r="H157" i="76"/>
  <c r="M155" i="76"/>
  <c r="K152" i="76"/>
  <c r="P150" i="76"/>
  <c r="G149" i="76"/>
  <c r="M147" i="76"/>
  <c r="H141" i="76"/>
  <c r="K141" i="76" s="1"/>
  <c r="E139" i="76"/>
  <c r="G134" i="76"/>
  <c r="J134" i="76" s="1"/>
  <c r="E132" i="76"/>
  <c r="I127" i="76"/>
  <c r="L127" i="76" s="1"/>
  <c r="J116" i="76"/>
  <c r="C113" i="76"/>
  <c r="F113" i="76" s="1"/>
  <c r="I109" i="76"/>
  <c r="M100" i="76"/>
  <c r="L117" i="76" s="1"/>
  <c r="E99" i="76"/>
  <c r="I97" i="76"/>
  <c r="L95" i="76"/>
  <c r="E94" i="76"/>
  <c r="I92" i="76"/>
  <c r="L79" i="76"/>
  <c r="H78" i="76"/>
  <c r="M75" i="76"/>
  <c r="I74" i="76"/>
  <c r="E73" i="76"/>
  <c r="E66" i="76"/>
  <c r="H66" i="76" s="1"/>
  <c r="D64" i="76"/>
  <c r="D62" i="76"/>
  <c r="C60" i="76"/>
  <c r="C58" i="76"/>
  <c r="G38" i="76"/>
  <c r="L20" i="76"/>
  <c r="J16" i="76"/>
  <c r="K291" i="76"/>
  <c r="G282" i="76"/>
  <c r="E272" i="76"/>
  <c r="I232" i="76"/>
  <c r="P228" i="76"/>
  <c r="E220" i="76"/>
  <c r="E200" i="76"/>
  <c r="F184" i="76"/>
  <c r="I184" i="76" s="1"/>
  <c r="D175" i="76"/>
  <c r="G175" i="76" s="1"/>
  <c r="D162" i="76"/>
  <c r="E162" i="76" s="1"/>
  <c r="I160" i="76"/>
  <c r="P158" i="76"/>
  <c r="G157" i="76"/>
  <c r="L155" i="76"/>
  <c r="D154" i="76"/>
  <c r="E154" i="76" s="1"/>
  <c r="I152" i="76"/>
  <c r="O150" i="76"/>
  <c r="F149" i="76"/>
  <c r="L147" i="76"/>
  <c r="G141" i="76"/>
  <c r="J141" i="76" s="1"/>
  <c r="I136" i="76"/>
  <c r="L136" i="76" s="1"/>
  <c r="F134" i="76"/>
  <c r="D132" i="76"/>
  <c r="F127" i="76"/>
  <c r="H116" i="76"/>
  <c r="B113" i="76"/>
  <c r="E113" i="76" s="1"/>
  <c r="H109" i="76"/>
  <c r="K100" i="76"/>
  <c r="D99" i="76"/>
  <c r="G97" i="76"/>
  <c r="K95" i="76"/>
  <c r="D94" i="76"/>
  <c r="H92" i="76"/>
  <c r="O80" i="76"/>
  <c r="K79" i="76"/>
  <c r="F78" i="76"/>
  <c r="B77" i="76"/>
  <c r="C77" i="76" s="1"/>
  <c r="L75" i="76"/>
  <c r="H74" i="76"/>
  <c r="D73" i="76"/>
  <c r="C66" i="76"/>
  <c r="C64" i="76"/>
  <c r="B62" i="76"/>
  <c r="B60" i="76"/>
  <c r="B58" i="76"/>
  <c r="L24" i="76"/>
  <c r="J20" i="76"/>
  <c r="H16" i="76"/>
  <c r="H290" i="76"/>
  <c r="P156" i="76"/>
  <c r="E92" i="76"/>
  <c r="D207" i="76"/>
  <c r="I155" i="76"/>
  <c r="L80" i="76"/>
  <c r="L23" i="76"/>
  <c r="L93" i="76"/>
  <c r="K158" i="76"/>
  <c r="K271" i="76"/>
  <c r="E199" i="76"/>
  <c r="N153" i="76"/>
  <c r="G79" i="76"/>
  <c r="K186" i="76"/>
  <c r="G36" i="76"/>
  <c r="J150" i="76"/>
  <c r="J112" i="76"/>
  <c r="M76" i="76"/>
  <c r="H95" i="76"/>
  <c r="D180" i="76"/>
  <c r="G180" i="76" s="1"/>
  <c r="P148" i="76"/>
  <c r="B111" i="76"/>
  <c r="E111" i="76" s="1"/>
  <c r="I75" i="76"/>
  <c r="D177" i="76"/>
  <c r="G177" i="76" s="1"/>
  <c r="G147" i="76"/>
  <c r="D109" i="76"/>
  <c r="L171" i="76"/>
  <c r="H138" i="76"/>
  <c r="K138" i="76" s="1"/>
  <c r="F24" i="76"/>
  <c r="E136" i="76"/>
  <c r="L19" i="76"/>
  <c r="E74" i="76"/>
  <c r="F160" i="76"/>
  <c r="H100" i="76"/>
  <c r="D97" i="76"/>
  <c r="K98" i="76"/>
  <c r="J19" i="76"/>
  <c r="F231" i="76"/>
  <c r="I131" i="76"/>
  <c r="L131" i="76" s="1"/>
  <c r="E129" i="76"/>
  <c r="N161" i="76"/>
  <c r="G306" i="75"/>
  <c r="K304" i="75"/>
  <c r="E303" i="75"/>
  <c r="I301" i="75"/>
  <c r="G296" i="75"/>
  <c r="K294" i="75"/>
  <c r="E293" i="75"/>
  <c r="I291" i="75"/>
  <c r="G288" i="75"/>
  <c r="K286" i="75"/>
  <c r="E285" i="75"/>
  <c r="I283" i="75"/>
  <c r="K276" i="75"/>
  <c r="E275" i="75"/>
  <c r="I273" i="75"/>
  <c r="G270" i="75"/>
  <c r="D260" i="75"/>
  <c r="F260" i="75" s="1"/>
  <c r="D256" i="75"/>
  <c r="F249" i="75"/>
  <c r="I249" i="75" s="1"/>
  <c r="J245" i="75"/>
  <c r="L243" i="75"/>
  <c r="J234" i="75"/>
  <c r="H233" i="75"/>
  <c r="F232" i="75"/>
  <c r="P229" i="75"/>
  <c r="N228" i="75"/>
  <c r="D218" i="75"/>
  <c r="F216" i="75"/>
  <c r="F306" i="75"/>
  <c r="J304" i="75"/>
  <c r="D303" i="75"/>
  <c r="H301" i="75"/>
  <c r="F296" i="75"/>
  <c r="J294" i="75"/>
  <c r="D293" i="75"/>
  <c r="H291" i="75"/>
  <c r="L289" i="75"/>
  <c r="F288" i="75"/>
  <c r="J286" i="75"/>
  <c r="D285" i="75"/>
  <c r="H283" i="75"/>
  <c r="L281" i="75"/>
  <c r="J276" i="75"/>
  <c r="D275" i="75"/>
  <c r="H273" i="75"/>
  <c r="L271" i="75"/>
  <c r="F270" i="75"/>
  <c r="E249" i="75"/>
  <c r="H249" i="75" s="1"/>
  <c r="K243" i="75"/>
  <c r="I234" i="75"/>
  <c r="G233" i="75"/>
  <c r="E232" i="75"/>
  <c r="C231" i="75"/>
  <c r="D231" i="75" s="1"/>
  <c r="O229" i="75"/>
  <c r="M228" i="75"/>
  <c r="H221" i="75"/>
  <c r="K221" i="75" s="1"/>
  <c r="C218" i="75"/>
  <c r="E216" i="75"/>
  <c r="E207" i="75"/>
  <c r="E203" i="75"/>
  <c r="E199" i="75"/>
  <c r="E195" i="75"/>
  <c r="J183" i="75"/>
  <c r="L181" i="75"/>
  <c r="E180" i="75"/>
  <c r="H180" i="75" s="1"/>
  <c r="K174" i="75"/>
  <c r="D173" i="75"/>
  <c r="G173" i="75" s="1"/>
  <c r="F171" i="75"/>
  <c r="Q160" i="75"/>
  <c r="O159" i="75"/>
  <c r="M158" i="75"/>
  <c r="K157" i="75"/>
  <c r="I156" i="75"/>
  <c r="E306" i="75"/>
  <c r="I304" i="75"/>
  <c r="G301" i="75"/>
  <c r="E296" i="75"/>
  <c r="I294" i="75"/>
  <c r="G291" i="75"/>
  <c r="K289" i="75"/>
  <c r="E288" i="75"/>
  <c r="I286" i="75"/>
  <c r="G283" i="75"/>
  <c r="K281" i="75"/>
  <c r="I276" i="75"/>
  <c r="G273" i="75"/>
  <c r="K271" i="75"/>
  <c r="E270" i="75"/>
  <c r="D249" i="75"/>
  <c r="G249" i="75" s="1"/>
  <c r="F247" i="75"/>
  <c r="I247" i="75" s="1"/>
  <c r="J243" i="75"/>
  <c r="H234" i="75"/>
  <c r="F233" i="75"/>
  <c r="P230" i="75"/>
  <c r="N229" i="75"/>
  <c r="L228" i="75"/>
  <c r="G221" i="75"/>
  <c r="J221" i="75" s="1"/>
  <c r="D216" i="75"/>
  <c r="D207" i="75"/>
  <c r="D203" i="75"/>
  <c r="D199" i="75"/>
  <c r="D195" i="75"/>
  <c r="D306" i="75"/>
  <c r="H304" i="75"/>
  <c r="L302" i="75"/>
  <c r="F301" i="75"/>
  <c r="H294" i="75"/>
  <c r="L292" i="75"/>
  <c r="F291" i="75"/>
  <c r="J289" i="75"/>
  <c r="D288" i="75"/>
  <c r="H286" i="75"/>
  <c r="L284" i="75"/>
  <c r="F283" i="75"/>
  <c r="J281" i="75"/>
  <c r="H276" i="75"/>
  <c r="L274" i="75"/>
  <c r="F273" i="75"/>
  <c r="J271" i="75"/>
  <c r="D270" i="75"/>
  <c r="E259" i="75"/>
  <c r="G259" i="75" s="1"/>
  <c r="L248" i="75"/>
  <c r="E247" i="75"/>
  <c r="H247" i="75" s="1"/>
  <c r="E233" i="75"/>
  <c r="C232" i="75"/>
  <c r="D232" i="75" s="1"/>
  <c r="O230" i="75"/>
  <c r="M229" i="75"/>
  <c r="K228" i="75"/>
  <c r="F221" i="75"/>
  <c r="I221" i="75" s="1"/>
  <c r="H219" i="75"/>
  <c r="K219" i="75" s="1"/>
  <c r="C216" i="75"/>
  <c r="F185" i="75"/>
  <c r="I185" i="75" s="1"/>
  <c r="J181" i="75"/>
  <c r="L179" i="75"/>
  <c r="E178" i="75"/>
  <c r="H178" i="75" s="1"/>
  <c r="K172" i="75"/>
  <c r="D171" i="75"/>
  <c r="Q161" i="75"/>
  <c r="O160" i="75"/>
  <c r="M159" i="75"/>
  <c r="K158" i="75"/>
  <c r="I157" i="75"/>
  <c r="G304" i="75"/>
  <c r="K302" i="75"/>
  <c r="E301" i="75"/>
  <c r="G294" i="75"/>
  <c r="K292" i="75"/>
  <c r="E291" i="75"/>
  <c r="I289" i="75"/>
  <c r="G286" i="75"/>
  <c r="K284" i="75"/>
  <c r="E283" i="75"/>
  <c r="I281" i="75"/>
  <c r="G276" i="75"/>
  <c r="K274" i="75"/>
  <c r="E273" i="75"/>
  <c r="I271" i="75"/>
  <c r="D259" i="75"/>
  <c r="F259" i="75" s="1"/>
  <c r="K248" i="75"/>
  <c r="D247" i="75"/>
  <c r="G247" i="75" s="1"/>
  <c r="F245" i="75"/>
  <c r="I245" i="75" s="1"/>
  <c r="F234" i="75"/>
  <c r="P231" i="75"/>
  <c r="N230" i="75"/>
  <c r="L229" i="75"/>
  <c r="J228" i="75"/>
  <c r="E221" i="75"/>
  <c r="G219" i="75"/>
  <c r="J219" i="75" s="1"/>
  <c r="L305" i="75"/>
  <c r="F304" i="75"/>
  <c r="J302" i="75"/>
  <c r="D301" i="75"/>
  <c r="L295" i="75"/>
  <c r="J292" i="75"/>
  <c r="D291" i="75"/>
  <c r="H289" i="75"/>
  <c r="L287" i="75"/>
  <c r="F286" i="75"/>
  <c r="J284" i="75"/>
  <c r="D283" i="75"/>
  <c r="H281" i="75"/>
  <c r="L277" i="75"/>
  <c r="F276" i="75"/>
  <c r="J274" i="75"/>
  <c r="D273" i="75"/>
  <c r="H271" i="75"/>
  <c r="J248" i="75"/>
  <c r="L246" i="75"/>
  <c r="E245" i="75"/>
  <c r="H245" i="75" s="1"/>
  <c r="E234" i="75"/>
  <c r="C233" i="75"/>
  <c r="D233" i="75" s="1"/>
  <c r="O231" i="75"/>
  <c r="M230" i="75"/>
  <c r="K229" i="75"/>
  <c r="I228" i="75"/>
  <c r="D221" i="75"/>
  <c r="F219" i="75"/>
  <c r="I219" i="75" s="1"/>
  <c r="H217" i="75"/>
  <c r="K217" i="75" s="1"/>
  <c r="K305" i="75"/>
  <c r="E304" i="75"/>
  <c r="I302" i="75"/>
  <c r="K295" i="75"/>
  <c r="E294" i="75"/>
  <c r="I292" i="75"/>
  <c r="G289" i="75"/>
  <c r="K287" i="75"/>
  <c r="E286" i="75"/>
  <c r="I284" i="75"/>
  <c r="G281" i="75"/>
  <c r="K277" i="75"/>
  <c r="E276" i="75"/>
  <c r="I274" i="75"/>
  <c r="G271" i="75"/>
  <c r="L269" i="75"/>
  <c r="K246" i="75"/>
  <c r="D245" i="75"/>
  <c r="G245" i="75" s="1"/>
  <c r="F243" i="75"/>
  <c r="P232" i="75"/>
  <c r="N231" i="75"/>
  <c r="L230" i="75"/>
  <c r="J229" i="75"/>
  <c r="H228" i="75"/>
  <c r="C221" i="75"/>
  <c r="E219" i="75"/>
  <c r="G217" i="75"/>
  <c r="J217" i="75" s="1"/>
  <c r="J305" i="75"/>
  <c r="D304" i="75"/>
  <c r="H302" i="75"/>
  <c r="L300" i="75"/>
  <c r="J295" i="75"/>
  <c r="D294" i="75"/>
  <c r="H292" i="75"/>
  <c r="L290" i="75"/>
  <c r="F289" i="75"/>
  <c r="J287" i="75"/>
  <c r="D286" i="75"/>
  <c r="H284" i="75"/>
  <c r="L282" i="75"/>
  <c r="F281" i="75"/>
  <c r="D276" i="75"/>
  <c r="H274" i="75"/>
  <c r="L272" i="75"/>
  <c r="F271" i="75"/>
  <c r="K269" i="75"/>
  <c r="E258" i="75"/>
  <c r="G258" i="75" s="1"/>
  <c r="J246" i="75"/>
  <c r="L244" i="75"/>
  <c r="E243" i="75"/>
  <c r="D234" i="75"/>
  <c r="O232" i="75"/>
  <c r="M231" i="75"/>
  <c r="K230" i="75"/>
  <c r="I229" i="75"/>
  <c r="G228" i="75"/>
  <c r="D219" i="75"/>
  <c r="F217" i="75"/>
  <c r="I217" i="75" s="1"/>
  <c r="K184" i="75"/>
  <c r="D183" i="75"/>
  <c r="G183" i="75" s="1"/>
  <c r="F181" i="75"/>
  <c r="I181" i="75" s="1"/>
  <c r="J177" i="75"/>
  <c r="L175" i="75"/>
  <c r="E174" i="75"/>
  <c r="H174" i="75" s="1"/>
  <c r="M161" i="75"/>
  <c r="K160" i="75"/>
  <c r="I159" i="75"/>
  <c r="G158" i="75"/>
  <c r="Q155" i="75"/>
  <c r="O154" i="75"/>
  <c r="M153" i="75"/>
  <c r="K152" i="75"/>
  <c r="I151" i="75"/>
  <c r="G150" i="75"/>
  <c r="Q147" i="75"/>
  <c r="E139" i="75"/>
  <c r="G137" i="75"/>
  <c r="J137" i="75" s="1"/>
  <c r="I135" i="75"/>
  <c r="L135" i="75" s="1"/>
  <c r="D132" i="75"/>
  <c r="F130" i="75"/>
  <c r="H128" i="75"/>
  <c r="K128" i="75" s="1"/>
  <c r="B114" i="75"/>
  <c r="E114" i="75" s="1"/>
  <c r="H112" i="75"/>
  <c r="C111" i="75"/>
  <c r="F111" i="75" s="1"/>
  <c r="I305" i="75"/>
  <c r="G302" i="75"/>
  <c r="K300" i="75"/>
  <c r="I295" i="75"/>
  <c r="G292" i="75"/>
  <c r="K290" i="75"/>
  <c r="E289" i="75"/>
  <c r="I287" i="75"/>
  <c r="G284" i="75"/>
  <c r="K282" i="75"/>
  <c r="E281" i="75"/>
  <c r="I277" i="75"/>
  <c r="G274" i="75"/>
  <c r="K272" i="75"/>
  <c r="E271" i="75"/>
  <c r="J269" i="75"/>
  <c r="D262" i="75"/>
  <c r="F262" i="75" s="1"/>
  <c r="D258" i="75"/>
  <c r="F258" i="75" s="1"/>
  <c r="K244" i="75"/>
  <c r="D243" i="75"/>
  <c r="G243" i="75" s="1"/>
  <c r="P233" i="75"/>
  <c r="N232" i="75"/>
  <c r="L231" i="75"/>
  <c r="J230" i="75"/>
  <c r="H229" i="75"/>
  <c r="F228" i="75"/>
  <c r="H222" i="75"/>
  <c r="K222" i="75" s="1"/>
  <c r="C219" i="75"/>
  <c r="E217" i="75"/>
  <c r="J184" i="75"/>
  <c r="L182" i="75"/>
  <c r="H305" i="75"/>
  <c r="L303" i="75"/>
  <c r="F302" i="75"/>
  <c r="J300" i="75"/>
  <c r="H295" i="75"/>
  <c r="L293" i="75"/>
  <c r="F292" i="75"/>
  <c r="D289" i="75"/>
  <c r="H287" i="75"/>
  <c r="L285" i="75"/>
  <c r="F284" i="75"/>
  <c r="J282" i="75"/>
  <c r="D281" i="75"/>
  <c r="H277" i="75"/>
  <c r="L275" i="75"/>
  <c r="F274" i="75"/>
  <c r="J272" i="75"/>
  <c r="D271" i="75"/>
  <c r="I269" i="75"/>
  <c r="F248" i="75"/>
  <c r="I248" i="75" s="1"/>
  <c r="J244" i="75"/>
  <c r="O233" i="75"/>
  <c r="M232" i="75"/>
  <c r="K231" i="75"/>
  <c r="I230" i="75"/>
  <c r="G229" i="75"/>
  <c r="E228" i="75"/>
  <c r="D217" i="75"/>
  <c r="E205" i="75"/>
  <c r="E201" i="75"/>
  <c r="E197" i="75"/>
  <c r="E193" i="75"/>
  <c r="K182" i="75"/>
  <c r="D181" i="75"/>
  <c r="G181" i="75" s="1"/>
  <c r="F179" i="75"/>
  <c r="I179" i="75" s="1"/>
  <c r="J175" i="75"/>
  <c r="L173" i="75"/>
  <c r="E172" i="75"/>
  <c r="H172" i="75" s="1"/>
  <c r="M162" i="75"/>
  <c r="K161" i="75"/>
  <c r="I160" i="75"/>
  <c r="G159" i="75"/>
  <c r="Q156" i="75"/>
  <c r="O155" i="75"/>
  <c r="M154" i="75"/>
  <c r="K153" i="75"/>
  <c r="I152" i="75"/>
  <c r="G151" i="75"/>
  <c r="Q148" i="75"/>
  <c r="O147" i="75"/>
  <c r="E137" i="75"/>
  <c r="I133" i="75"/>
  <c r="L133" i="75" s="1"/>
  <c r="D130" i="75"/>
  <c r="F128" i="75"/>
  <c r="H126" i="75"/>
  <c r="J116" i="75"/>
  <c r="L306" i="75"/>
  <c r="F305" i="75"/>
  <c r="J303" i="75"/>
  <c r="D302" i="75"/>
  <c r="H300" i="75"/>
  <c r="L296" i="75"/>
  <c r="F295" i="75"/>
  <c r="J293" i="75"/>
  <c r="D292" i="75"/>
  <c r="H290" i="75"/>
  <c r="L288" i="75"/>
  <c r="F287" i="75"/>
  <c r="J285" i="75"/>
  <c r="D284" i="75"/>
  <c r="H282" i="75"/>
  <c r="J275" i="75"/>
  <c r="D274" i="75"/>
  <c r="H272" i="75"/>
  <c r="L270" i="75"/>
  <c r="G269" i="75"/>
  <c r="E261" i="75"/>
  <c r="G261" i="75" s="1"/>
  <c r="E257" i="75"/>
  <c r="G257" i="75" s="1"/>
  <c r="K249" i="75"/>
  <c r="D248" i="75"/>
  <c r="G248" i="75" s="1"/>
  <c r="F246" i="75"/>
  <c r="I246" i="75" s="1"/>
  <c r="K306" i="75"/>
  <c r="E305" i="75"/>
  <c r="I303" i="75"/>
  <c r="G300" i="75"/>
  <c r="K296" i="75"/>
  <c r="E295" i="75"/>
  <c r="I293" i="75"/>
  <c r="G290" i="75"/>
  <c r="K288" i="75"/>
  <c r="E287" i="75"/>
  <c r="I285" i="75"/>
  <c r="G282" i="75"/>
  <c r="E277" i="75"/>
  <c r="I275" i="75"/>
  <c r="G272" i="75"/>
  <c r="K270" i="75"/>
  <c r="F269" i="75"/>
  <c r="D261" i="75"/>
  <c r="D257" i="75"/>
  <c r="F257" i="75" s="1"/>
  <c r="J249" i="75"/>
  <c r="L247" i="75"/>
  <c r="E246" i="75"/>
  <c r="H246" i="75" s="1"/>
  <c r="N234" i="75"/>
  <c r="L233" i="75"/>
  <c r="J232" i="75"/>
  <c r="H231" i="75"/>
  <c r="F230" i="75"/>
  <c r="D222" i="75"/>
  <c r="F220" i="75"/>
  <c r="I220" i="75" s="1"/>
  <c r="I306" i="75"/>
  <c r="G303" i="75"/>
  <c r="K301" i="75"/>
  <c r="E300" i="75"/>
  <c r="I296" i="75"/>
  <c r="G293" i="75"/>
  <c r="K291" i="75"/>
  <c r="E290" i="75"/>
  <c r="I288" i="75"/>
  <c r="G285" i="75"/>
  <c r="K283" i="75"/>
  <c r="E282" i="75"/>
  <c r="G275" i="75"/>
  <c r="K273" i="75"/>
  <c r="E272" i="75"/>
  <c r="I270" i="75"/>
  <c r="D269" i="75"/>
  <c r="J247" i="75"/>
  <c r="L245" i="75"/>
  <c r="E244" i="75"/>
  <c r="H244" i="75" s="1"/>
  <c r="L234" i="75"/>
  <c r="J233" i="75"/>
  <c r="H232" i="75"/>
  <c r="F231" i="75"/>
  <c r="P228" i="75"/>
  <c r="D220" i="75"/>
  <c r="F218" i="75"/>
  <c r="I218" i="75" s="1"/>
  <c r="H216" i="75"/>
  <c r="D204" i="75"/>
  <c r="D200" i="75"/>
  <c r="D196" i="75"/>
  <c r="K185" i="75"/>
  <c r="F182" i="75"/>
  <c r="I182" i="75" s="1"/>
  <c r="J178" i="75"/>
  <c r="L176" i="75"/>
  <c r="E175" i="75"/>
  <c r="H175" i="75" s="1"/>
  <c r="F161" i="75"/>
  <c r="D160" i="75"/>
  <c r="E160" i="75" s="1"/>
  <c r="P158" i="75"/>
  <c r="N157" i="75"/>
  <c r="L156" i="75"/>
  <c r="J155" i="75"/>
  <c r="H154" i="75"/>
  <c r="F153" i="75"/>
  <c r="D152" i="75"/>
  <c r="E152" i="75" s="1"/>
  <c r="P150" i="75"/>
  <c r="N149" i="75"/>
  <c r="L148" i="75"/>
  <c r="J147" i="75"/>
  <c r="E140" i="75"/>
  <c r="G138" i="75"/>
  <c r="J138" i="75" s="1"/>
  <c r="I136" i="75"/>
  <c r="L136" i="75" s="1"/>
  <c r="D133" i="75"/>
  <c r="F131" i="75"/>
  <c r="H129" i="75"/>
  <c r="K129" i="75" s="1"/>
  <c r="J117" i="75"/>
  <c r="J296" i="75"/>
  <c r="H288" i="75"/>
  <c r="G277" i="75"/>
  <c r="H269" i="75"/>
  <c r="K233" i="75"/>
  <c r="C229" i="75"/>
  <c r="D229" i="75" s="1"/>
  <c r="H218" i="75"/>
  <c r="K218" i="75" s="1"/>
  <c r="E200" i="75"/>
  <c r="L184" i="75"/>
  <c r="K181" i="75"/>
  <c r="E179" i="75"/>
  <c r="H179" i="75" s="1"/>
  <c r="J176" i="75"/>
  <c r="D174" i="75"/>
  <c r="G174" i="75" s="1"/>
  <c r="P162" i="75"/>
  <c r="G161" i="75"/>
  <c r="K159" i="75"/>
  <c r="P157" i="75"/>
  <c r="F156" i="75"/>
  <c r="N154" i="75"/>
  <c r="H153" i="75"/>
  <c r="K150" i="75"/>
  <c r="F149" i="75"/>
  <c r="M147" i="75"/>
  <c r="I137" i="75"/>
  <c r="L137" i="75" s="1"/>
  <c r="F135" i="75"/>
  <c r="E133" i="75"/>
  <c r="I126" i="75"/>
  <c r="D116" i="75"/>
  <c r="G116" i="75" s="1"/>
  <c r="J112" i="75"/>
  <c r="L117" i="75"/>
  <c r="H99" i="75"/>
  <c r="B98" i="75"/>
  <c r="I96" i="75"/>
  <c r="D95" i="75"/>
  <c r="J93" i="75"/>
  <c r="E92" i="75"/>
  <c r="O79" i="75"/>
  <c r="M78" i="75"/>
  <c r="K77" i="75"/>
  <c r="I76" i="75"/>
  <c r="G75" i="75"/>
  <c r="E74" i="75"/>
  <c r="E66" i="75"/>
  <c r="H66" i="75" s="1"/>
  <c r="G64" i="75"/>
  <c r="J64" i="75" s="1"/>
  <c r="B61" i="75"/>
  <c r="D59" i="75"/>
  <c r="G44" i="75"/>
  <c r="J306" i="75"/>
  <c r="H296" i="75"/>
  <c r="G287" i="75"/>
  <c r="E269" i="75"/>
  <c r="D246" i="75"/>
  <c r="G246" i="75" s="1"/>
  <c r="I233" i="75"/>
  <c r="O228" i="75"/>
  <c r="G218" i="75"/>
  <c r="J218" i="75" s="1"/>
  <c r="D179" i="75"/>
  <c r="G179" i="75" s="1"/>
  <c r="K173" i="75"/>
  <c r="N162" i="75"/>
  <c r="J159" i="75"/>
  <c r="O157" i="75"/>
  <c r="L154" i="75"/>
  <c r="G153" i="75"/>
  <c r="O151" i="75"/>
  <c r="J150" i="75"/>
  <c r="D149" i="75"/>
  <c r="E149" i="75" s="1"/>
  <c r="L147" i="75"/>
  <c r="I139" i="75"/>
  <c r="L139" i="75" s="1"/>
  <c r="H137" i="75"/>
  <c r="K137" i="75" s="1"/>
  <c r="E135" i="75"/>
  <c r="G126" i="75"/>
  <c r="C116" i="75"/>
  <c r="F116" i="75" s="1"/>
  <c r="I112" i="75"/>
  <c r="G99" i="75"/>
  <c r="M97" i="75"/>
  <c r="L114" i="75" s="1"/>
  <c r="H96" i="75"/>
  <c r="B95" i="75"/>
  <c r="I93" i="75"/>
  <c r="D92" i="75"/>
  <c r="N79" i="75"/>
  <c r="L78" i="75"/>
  <c r="J77" i="75"/>
  <c r="H76" i="75"/>
  <c r="F75" i="75"/>
  <c r="D74" i="75"/>
  <c r="D66" i="75"/>
  <c r="F64" i="75"/>
  <c r="I64" i="75" s="1"/>
  <c r="C59" i="75"/>
  <c r="H306" i="75"/>
  <c r="G295" i="75"/>
  <c r="D287" i="75"/>
  <c r="L276" i="75"/>
  <c r="K245" i="75"/>
  <c r="L232" i="75"/>
  <c r="E218" i="75"/>
  <c r="E206" i="75"/>
  <c r="L178" i="75"/>
  <c r="F176" i="75"/>
  <c r="I176" i="75" s="1"/>
  <c r="J173" i="75"/>
  <c r="E171" i="75"/>
  <c r="L162" i="75"/>
  <c r="D161" i="75"/>
  <c r="E161" i="75" s="1"/>
  <c r="H159" i="75"/>
  <c r="M157" i="75"/>
  <c r="E156" i="75"/>
  <c r="K154" i="75"/>
  <c r="N151" i="75"/>
  <c r="I150" i="75"/>
  <c r="P148" i="75"/>
  <c r="K147" i="75"/>
  <c r="I141" i="75"/>
  <c r="L141" i="75" s="1"/>
  <c r="H139" i="75"/>
  <c r="K139" i="75" s="1"/>
  <c r="F137" i="75"/>
  <c r="I128" i="75"/>
  <c r="L128" i="75" s="1"/>
  <c r="F126" i="75"/>
  <c r="J110" i="75"/>
  <c r="D109" i="75"/>
  <c r="K100" i="75"/>
  <c r="F99" i="75"/>
  <c r="L97" i="75"/>
  <c r="G96" i="75"/>
  <c r="M94" i="75"/>
  <c r="L111" i="75" s="1"/>
  <c r="H93" i="75"/>
  <c r="O80" i="75"/>
  <c r="M79" i="75"/>
  <c r="K78" i="75"/>
  <c r="I77" i="75"/>
  <c r="G76" i="75"/>
  <c r="E75" i="75"/>
  <c r="C66" i="75"/>
  <c r="E64" i="75"/>
  <c r="H64" i="75" s="1"/>
  <c r="G62" i="75"/>
  <c r="J62" i="75" s="1"/>
  <c r="B59" i="75"/>
  <c r="G305" i="75"/>
  <c r="D295" i="75"/>
  <c r="L286" i="75"/>
  <c r="K275" i="75"/>
  <c r="K232" i="75"/>
  <c r="C228" i="75"/>
  <c r="F184" i="75"/>
  <c r="I184" i="75" s="1"/>
  <c r="K178" i="75"/>
  <c r="E176" i="75"/>
  <c r="H176" i="75" s="1"/>
  <c r="K162" i="75"/>
  <c r="P160" i="75"/>
  <c r="F159" i="75"/>
  <c r="L157" i="75"/>
  <c r="P155" i="75"/>
  <c r="J154" i="75"/>
  <c r="D153" i="75"/>
  <c r="E153" i="75" s="1"/>
  <c r="M151" i="75"/>
  <c r="H150" i="75"/>
  <c r="O148" i="75"/>
  <c r="I147" i="75"/>
  <c r="K141" i="75"/>
  <c r="G139" i="75"/>
  <c r="D137" i="75"/>
  <c r="I130" i="75"/>
  <c r="L130" i="75" s="1"/>
  <c r="G128" i="75"/>
  <c r="J128" i="75" s="1"/>
  <c r="E126" i="75"/>
  <c r="I117" i="75"/>
  <c r="D114" i="75"/>
  <c r="G114" i="75" s="1"/>
  <c r="I110" i="75"/>
  <c r="C109" i="75"/>
  <c r="J100" i="75"/>
  <c r="E99" i="75"/>
  <c r="K97" i="75"/>
  <c r="F96" i="75"/>
  <c r="L94" i="75"/>
  <c r="G93" i="75"/>
  <c r="N80" i="75"/>
  <c r="L79" i="75"/>
  <c r="J78" i="75"/>
  <c r="H77" i="75"/>
  <c r="F76" i="75"/>
  <c r="D75" i="75"/>
  <c r="B74" i="75"/>
  <c r="C74" i="75" s="1"/>
  <c r="B66" i="75"/>
  <c r="D64" i="75"/>
  <c r="F62" i="75"/>
  <c r="I62" i="75" s="1"/>
  <c r="L23" i="75"/>
  <c r="L19" i="75"/>
  <c r="D305" i="75"/>
  <c r="L294" i="75"/>
  <c r="K285" i="75"/>
  <c r="H275" i="75"/>
  <c r="F244" i="75"/>
  <c r="I244" i="75" s="1"/>
  <c r="I232" i="75"/>
  <c r="C217" i="75"/>
  <c r="D205" i="75"/>
  <c r="E198" i="75"/>
  <c r="E184" i="75"/>
  <c r="H184" i="75" s="1"/>
  <c r="E181" i="75"/>
  <c r="H181" i="75" s="1"/>
  <c r="D176" i="75"/>
  <c r="G176" i="75" s="1"/>
  <c r="J162" i="75"/>
  <c r="N160" i="75"/>
  <c r="J157" i="75"/>
  <c r="N155" i="75"/>
  <c r="I154" i="75"/>
  <c r="Q152" i="75"/>
  <c r="L151" i="75"/>
  <c r="F150" i="75"/>
  <c r="N148" i="75"/>
  <c r="H147" i="75"/>
  <c r="G141" i="75"/>
  <c r="J141" i="75" s="1"/>
  <c r="F139" i="75"/>
  <c r="I132" i="75"/>
  <c r="L132" i="75" s="1"/>
  <c r="H130" i="75"/>
  <c r="K130" i="75" s="1"/>
  <c r="E128" i="75"/>
  <c r="D126" i="75"/>
  <c r="H117" i="75"/>
  <c r="C114" i="75"/>
  <c r="F114" i="75" s="1"/>
  <c r="D112" i="75"/>
  <c r="G112" i="75" s="1"/>
  <c r="H110" i="75"/>
  <c r="B109" i="75"/>
  <c r="I100" i="75"/>
  <c r="D99" i="75"/>
  <c r="J97" i="75"/>
  <c r="E96" i="75"/>
  <c r="K94" i="75"/>
  <c r="F93" i="75"/>
  <c r="O81" i="75"/>
  <c r="M80" i="75"/>
  <c r="K79" i="75"/>
  <c r="I78" i="75"/>
  <c r="G77" i="75"/>
  <c r="E76" i="75"/>
  <c r="O73" i="75"/>
  <c r="C64" i="75"/>
  <c r="E62" i="75"/>
  <c r="H62" i="75" s="1"/>
  <c r="G60" i="75"/>
  <c r="J60" i="75" s="1"/>
  <c r="L304" i="75"/>
  <c r="K293" i="75"/>
  <c r="H285" i="75"/>
  <c r="F275" i="75"/>
  <c r="D244" i="75"/>
  <c r="G244" i="75" s="1"/>
  <c r="G232" i="75"/>
  <c r="D198" i="75"/>
  <c r="L186" i="75"/>
  <c r="L183" i="75"/>
  <c r="L180" i="75"/>
  <c r="K175" i="75"/>
  <c r="F173" i="75"/>
  <c r="I173" i="75" s="1"/>
  <c r="I162" i="75"/>
  <c r="M160" i="75"/>
  <c r="D159" i="75"/>
  <c r="E159" i="75" s="1"/>
  <c r="H157" i="75"/>
  <c r="M155" i="75"/>
  <c r="G154" i="75"/>
  <c r="P152" i="75"/>
  <c r="K151" i="75"/>
  <c r="D150" i="75"/>
  <c r="E150" i="75" s="1"/>
  <c r="M148" i="75"/>
  <c r="G147" i="75"/>
  <c r="F141" i="75"/>
  <c r="D139" i="75"/>
  <c r="I134" i="75"/>
  <c r="L134" i="75" s="1"/>
  <c r="H132" i="75"/>
  <c r="K132" i="75" s="1"/>
  <c r="G130" i="75"/>
  <c r="J130" i="75" s="1"/>
  <c r="D128" i="75"/>
  <c r="J115" i="75"/>
  <c r="C112" i="75"/>
  <c r="F112" i="75" s="1"/>
  <c r="H100" i="75"/>
  <c r="I97" i="75"/>
  <c r="D96" i="75"/>
  <c r="J94" i="75"/>
  <c r="E93" i="75"/>
  <c r="N81" i="75"/>
  <c r="J79" i="75"/>
  <c r="H78" i="75"/>
  <c r="F77" i="75"/>
  <c r="D76" i="75"/>
  <c r="B75" i="75"/>
  <c r="C75" i="75" s="1"/>
  <c r="B64" i="75"/>
  <c r="D62" i="75"/>
  <c r="F60" i="75"/>
  <c r="I60" i="75" s="1"/>
  <c r="K41" i="75"/>
  <c r="K303" i="75"/>
  <c r="H293" i="75"/>
  <c r="F285" i="75"/>
  <c r="E274" i="75"/>
  <c r="E260" i="75"/>
  <c r="G260" i="75" s="1"/>
  <c r="J231" i="75"/>
  <c r="I222" i="75"/>
  <c r="D197" i="75"/>
  <c r="K186" i="75"/>
  <c r="K183" i="75"/>
  <c r="K180" i="75"/>
  <c r="F178" i="75"/>
  <c r="I178" i="75" s="1"/>
  <c r="E173" i="75"/>
  <c r="H173" i="75" s="1"/>
  <c r="L160" i="75"/>
  <c r="Q158" i="75"/>
  <c r="G157" i="75"/>
  <c r="L155" i="75"/>
  <c r="F154" i="75"/>
  <c r="O152" i="75"/>
  <c r="J151" i="75"/>
  <c r="Q149" i="75"/>
  <c r="K148" i="75"/>
  <c r="F147" i="75"/>
  <c r="E141" i="75"/>
  <c r="H134" i="75"/>
  <c r="K134" i="75" s="1"/>
  <c r="G132" i="75"/>
  <c r="J132" i="75" s="1"/>
  <c r="E130" i="75"/>
  <c r="I115" i="75"/>
  <c r="J113" i="75"/>
  <c r="B112" i="75"/>
  <c r="E112" i="75" s="1"/>
  <c r="G100" i="75"/>
  <c r="M98" i="75"/>
  <c r="L115" i="75" s="1"/>
  <c r="H97" i="75"/>
  <c r="B96" i="75"/>
  <c r="I94" i="75"/>
  <c r="D93" i="75"/>
  <c r="M81" i="75"/>
  <c r="K80" i="75"/>
  <c r="I79" i="75"/>
  <c r="G78" i="75"/>
  <c r="E77" i="75"/>
  <c r="O74" i="75"/>
  <c r="M73" i="75"/>
  <c r="C62" i="75"/>
  <c r="E60" i="75"/>
  <c r="H60" i="75" s="1"/>
  <c r="G58" i="75"/>
  <c r="G41" i="75"/>
  <c r="H303" i="75"/>
  <c r="F293" i="75"/>
  <c r="E284" i="75"/>
  <c r="L273" i="75"/>
  <c r="I231" i="75"/>
  <c r="E222" i="75"/>
  <c r="E204" i="75"/>
  <c r="J186" i="75"/>
  <c r="J180" i="75"/>
  <c r="D178" i="75"/>
  <c r="G178" i="75" s="1"/>
  <c r="L172" i="75"/>
  <c r="F162" i="75"/>
  <c r="J160" i="75"/>
  <c r="O158" i="75"/>
  <c r="F157" i="75"/>
  <c r="K155" i="75"/>
  <c r="N152" i="75"/>
  <c r="H151" i="75"/>
  <c r="P149" i="75"/>
  <c r="J148" i="75"/>
  <c r="D141" i="75"/>
  <c r="H136" i="75"/>
  <c r="K136" i="75" s="1"/>
  <c r="G134" i="75"/>
  <c r="J134" i="75" s="1"/>
  <c r="F132" i="75"/>
  <c r="H115" i="75"/>
  <c r="I113" i="75"/>
  <c r="D110" i="75"/>
  <c r="G110" i="75" s="1"/>
  <c r="F100" i="75"/>
  <c r="L98" i="75"/>
  <c r="G97" i="75"/>
  <c r="M95" i="75"/>
  <c r="L112" i="75" s="1"/>
  <c r="H94" i="75"/>
  <c r="B93" i="75"/>
  <c r="L81" i="75"/>
  <c r="J80" i="75"/>
  <c r="H79" i="75"/>
  <c r="F78" i="75"/>
  <c r="D77" i="75"/>
  <c r="B76" i="75"/>
  <c r="C76" i="75" s="1"/>
  <c r="N74" i="75"/>
  <c r="L73" i="75"/>
  <c r="G65" i="75"/>
  <c r="J65" i="75" s="1"/>
  <c r="B62" i="75"/>
  <c r="D60" i="75"/>
  <c r="F58" i="75"/>
  <c r="J31" i="75"/>
  <c r="L22" i="75"/>
  <c r="L18" i="75"/>
  <c r="F303" i="75"/>
  <c r="E292" i="75"/>
  <c r="L283" i="75"/>
  <c r="J273" i="75"/>
  <c r="G231" i="75"/>
  <c r="C222" i="75"/>
  <c r="G216" i="75"/>
  <c r="F186" i="75"/>
  <c r="I186" i="75" s="1"/>
  <c r="F183" i="75"/>
  <c r="I183" i="75" s="1"/>
  <c r="L177" i="75"/>
  <c r="J172" i="75"/>
  <c r="D162" i="75"/>
  <c r="E162" i="75" s="1"/>
  <c r="H160" i="75"/>
  <c r="N158" i="75"/>
  <c r="D157" i="75"/>
  <c r="E157" i="75" s="1"/>
  <c r="I155" i="75"/>
  <c r="D154" i="75"/>
  <c r="E154" i="75" s="1"/>
  <c r="M152" i="75"/>
  <c r="F151" i="75"/>
  <c r="O149" i="75"/>
  <c r="I148" i="75"/>
  <c r="D147" i="75"/>
  <c r="I138" i="75"/>
  <c r="L138" i="75" s="1"/>
  <c r="G136" i="75"/>
  <c r="J136" i="75" s="1"/>
  <c r="F134" i="75"/>
  <c r="E132" i="75"/>
  <c r="I127" i="75"/>
  <c r="L127" i="75" s="1"/>
  <c r="D117" i="75"/>
  <c r="G117" i="75" s="1"/>
  <c r="H113" i="75"/>
  <c r="J111" i="75"/>
  <c r="C110" i="75"/>
  <c r="F110" i="75" s="1"/>
  <c r="E100" i="75"/>
  <c r="K98" i="75"/>
  <c r="F97" i="75"/>
  <c r="L95" i="75"/>
  <c r="G94" i="75"/>
  <c r="K81" i="75"/>
  <c r="I80" i="75"/>
  <c r="G79" i="75"/>
  <c r="E78" i="75"/>
  <c r="O75" i="75"/>
  <c r="M74" i="75"/>
  <c r="K73" i="75"/>
  <c r="F65" i="75"/>
  <c r="I65" i="75" s="1"/>
  <c r="C60" i="75"/>
  <c r="E58" i="75"/>
  <c r="G40" i="75"/>
  <c r="H31" i="75"/>
  <c r="E302" i="75"/>
  <c r="L291" i="75"/>
  <c r="J283" i="75"/>
  <c r="I272" i="75"/>
  <c r="E256" i="75"/>
  <c r="E231" i="75"/>
  <c r="E196" i="75"/>
  <c r="E183" i="75"/>
  <c r="H183" i="75" s="1"/>
  <c r="K177" i="75"/>
  <c r="F175" i="75"/>
  <c r="I175" i="75" s="1"/>
  <c r="P161" i="75"/>
  <c r="L158" i="75"/>
  <c r="P156" i="75"/>
  <c r="H155" i="75"/>
  <c r="Q153" i="75"/>
  <c r="L152" i="75"/>
  <c r="M149" i="75"/>
  <c r="H148" i="75"/>
  <c r="I140" i="75"/>
  <c r="L140" i="75" s="1"/>
  <c r="H138" i="75"/>
  <c r="K138" i="75" s="1"/>
  <c r="F136" i="75"/>
  <c r="E134" i="75"/>
  <c r="H127" i="75"/>
  <c r="K127" i="75" s="1"/>
  <c r="C117" i="75"/>
  <c r="F117" i="75" s="1"/>
  <c r="D115" i="75"/>
  <c r="G115" i="75" s="1"/>
  <c r="I111" i="75"/>
  <c r="B110" i="75"/>
  <c r="E110" i="75" s="1"/>
  <c r="D100" i="75"/>
  <c r="J98" i="75"/>
  <c r="E97" i="75"/>
  <c r="K95" i="75"/>
  <c r="F94" i="75"/>
  <c r="L92" i="75"/>
  <c r="J81" i="75"/>
  <c r="H80" i="75"/>
  <c r="F79" i="75"/>
  <c r="D78" i="75"/>
  <c r="B77" i="75"/>
  <c r="C77" i="75" s="1"/>
  <c r="N75" i="75"/>
  <c r="L74" i="75"/>
  <c r="J73" i="75"/>
  <c r="E65" i="75"/>
  <c r="H65" i="75" s="1"/>
  <c r="G63" i="75"/>
  <c r="J63" i="75" s="1"/>
  <c r="B60" i="75"/>
  <c r="D58" i="75"/>
  <c r="F31" i="75"/>
  <c r="L301" i="75"/>
  <c r="J291" i="75"/>
  <c r="I282" i="75"/>
  <c r="F272" i="75"/>
  <c r="L249" i="75"/>
  <c r="H230" i="75"/>
  <c r="H220" i="75"/>
  <c r="K220" i="75" s="1"/>
  <c r="D186" i="75"/>
  <c r="G186" i="75" s="1"/>
  <c r="J182" i="75"/>
  <c r="F180" i="75"/>
  <c r="I180" i="75" s="1"/>
  <c r="D175" i="75"/>
  <c r="G175" i="75" s="1"/>
  <c r="O161" i="75"/>
  <c r="F160" i="75"/>
  <c r="J158" i="75"/>
  <c r="O156" i="75"/>
  <c r="G155" i="75"/>
  <c r="P153" i="75"/>
  <c r="J152" i="75"/>
  <c r="E151" i="75"/>
  <c r="L149" i="75"/>
  <c r="G148" i="75"/>
  <c r="H140" i="75"/>
  <c r="K140" i="75" s="1"/>
  <c r="F138" i="75"/>
  <c r="E136" i="75"/>
  <c r="D134" i="75"/>
  <c r="I129" i="75"/>
  <c r="L129" i="75" s="1"/>
  <c r="G127" i="75"/>
  <c r="J127" i="75" s="1"/>
  <c r="C115" i="75"/>
  <c r="F115" i="75" s="1"/>
  <c r="H111" i="75"/>
  <c r="I98" i="75"/>
  <c r="D97" i="75"/>
  <c r="J95" i="75"/>
  <c r="E94" i="75"/>
  <c r="K92" i="75"/>
  <c r="I81" i="75"/>
  <c r="G80" i="75"/>
  <c r="E79" i="75"/>
  <c r="O76" i="75"/>
  <c r="M75" i="75"/>
  <c r="K74" i="75"/>
  <c r="I73" i="75"/>
  <c r="D65" i="75"/>
  <c r="F63" i="75"/>
  <c r="I63" i="75" s="1"/>
  <c r="C58" i="75"/>
  <c r="G39" i="75"/>
  <c r="J301" i="75"/>
  <c r="I290" i="75"/>
  <c r="F282" i="75"/>
  <c r="D272" i="75"/>
  <c r="P234" i="75"/>
  <c r="G230" i="75"/>
  <c r="G220" i="75"/>
  <c r="J220" i="75" s="1"/>
  <c r="E202" i="75"/>
  <c r="L185" i="75"/>
  <c r="L174" i="75"/>
  <c r="F172" i="75"/>
  <c r="I172" i="75" s="1"/>
  <c r="N161" i="75"/>
  <c r="I158" i="75"/>
  <c r="N156" i="75"/>
  <c r="F155" i="75"/>
  <c r="O153" i="75"/>
  <c r="H152" i="75"/>
  <c r="Q150" i="75"/>
  <c r="K149" i="75"/>
  <c r="F148" i="75"/>
  <c r="G140" i="75"/>
  <c r="J140" i="75" s="1"/>
  <c r="E138" i="75"/>
  <c r="D136" i="75"/>
  <c r="I131" i="75"/>
  <c r="L131" i="75" s="1"/>
  <c r="G129" i="75"/>
  <c r="J129" i="75" s="1"/>
  <c r="F127" i="75"/>
  <c r="B115" i="75"/>
  <c r="E115" i="75" s="1"/>
  <c r="D113" i="75"/>
  <c r="G113" i="75" s="1"/>
  <c r="H98" i="75"/>
  <c r="B97" i="75"/>
  <c r="I95" i="75"/>
  <c r="D94" i="75"/>
  <c r="J92" i="75"/>
  <c r="H81" i="75"/>
  <c r="D79" i="75"/>
  <c r="B78" i="75"/>
  <c r="C78" i="75" s="1"/>
  <c r="N76" i="75"/>
  <c r="L75" i="75"/>
  <c r="J74" i="75"/>
  <c r="H73" i="75"/>
  <c r="C65" i="75"/>
  <c r="E63" i="75"/>
  <c r="H63" i="75" s="1"/>
  <c r="G61" i="75"/>
  <c r="J61" i="75" s="1"/>
  <c r="L21" i="75"/>
  <c r="L17" i="75"/>
  <c r="F300" i="75"/>
  <c r="D290" i="75"/>
  <c r="J270" i="75"/>
  <c r="E248" i="75"/>
  <c r="H248" i="75" s="1"/>
  <c r="K234" i="75"/>
  <c r="C230" i="75"/>
  <c r="D230" i="75" s="1"/>
  <c r="C220" i="75"/>
  <c r="D201" i="75"/>
  <c r="E194" i="75"/>
  <c r="J179" i="75"/>
  <c r="E177" i="75"/>
  <c r="H177" i="75" s="1"/>
  <c r="L171" i="75"/>
  <c r="I300" i="75"/>
  <c r="F290" i="75"/>
  <c r="D282" i="75"/>
  <c r="M234" i="75"/>
  <c r="E230" i="75"/>
  <c r="E220" i="75"/>
  <c r="J185" i="75"/>
  <c r="K179" i="75"/>
  <c r="F177" i="75"/>
  <c r="I177" i="75" s="1"/>
  <c r="J174" i="75"/>
  <c r="D172" i="75"/>
  <c r="G172" i="75" s="1"/>
  <c r="L161" i="75"/>
  <c r="Q159" i="75"/>
  <c r="H158" i="75"/>
  <c r="M156" i="75"/>
  <c r="N153" i="75"/>
  <c r="G152" i="75"/>
  <c r="O150" i="75"/>
  <c r="J149" i="75"/>
  <c r="F140" i="75"/>
  <c r="D138" i="75"/>
  <c r="H131" i="75"/>
  <c r="K131" i="75" s="1"/>
  <c r="F129" i="75"/>
  <c r="E127" i="75"/>
  <c r="I116" i="75"/>
  <c r="C113" i="75"/>
  <c r="F113" i="75" s="1"/>
  <c r="J109" i="75"/>
  <c r="L99" i="75"/>
  <c r="G98" i="75"/>
  <c r="M96" i="75"/>
  <c r="L113" i="75" s="1"/>
  <c r="H95" i="75"/>
  <c r="B94" i="75"/>
  <c r="I92" i="75"/>
  <c r="G81" i="75"/>
  <c r="E80" i="75"/>
  <c r="O77" i="75"/>
  <c r="M76" i="75"/>
  <c r="K75" i="75"/>
  <c r="I74" i="75"/>
  <c r="G73" i="75"/>
  <c r="B65" i="75"/>
  <c r="D63" i="75"/>
  <c r="F61" i="75"/>
  <c r="I61" i="75" s="1"/>
  <c r="G38" i="75"/>
  <c r="D300" i="75"/>
  <c r="H270" i="75"/>
  <c r="K247" i="75"/>
  <c r="N233" i="75"/>
  <c r="F229" i="75"/>
  <c r="D194" i="75"/>
  <c r="E185" i="75"/>
  <c r="H185" i="75" s="1"/>
  <c r="E182" i="75"/>
  <c r="H182" i="75" s="1"/>
  <c r="D177" i="75"/>
  <c r="G177" i="75" s="1"/>
  <c r="K171" i="75"/>
  <c r="I161" i="75"/>
  <c r="N159" i="75"/>
  <c r="D158" i="75"/>
  <c r="E158" i="75" s="1"/>
  <c r="J156" i="75"/>
  <c r="Q154" i="75"/>
  <c r="J153" i="75"/>
  <c r="M150" i="75"/>
  <c r="H149" i="75"/>
  <c r="P147" i="75"/>
  <c r="G133" i="75"/>
  <c r="J133" i="75" s="1"/>
  <c r="E131" i="75"/>
  <c r="D129" i="75"/>
  <c r="I114" i="75"/>
  <c r="D111" i="75"/>
  <c r="G111" i="75" s="1"/>
  <c r="H109" i="75"/>
  <c r="J99" i="75"/>
  <c r="E98" i="75"/>
  <c r="K96" i="75"/>
  <c r="F95" i="75"/>
  <c r="L93" i="75"/>
  <c r="G92" i="75"/>
  <c r="O78" i="75"/>
  <c r="M77" i="75"/>
  <c r="K76" i="75"/>
  <c r="I75" i="75"/>
  <c r="G74" i="75"/>
  <c r="E73" i="75"/>
  <c r="G66" i="75"/>
  <c r="J66" i="75" s="1"/>
  <c r="B63" i="75"/>
  <c r="D61" i="75"/>
  <c r="F59" i="75"/>
  <c r="I59" i="75" s="1"/>
  <c r="G37" i="75"/>
  <c r="E208" i="75"/>
  <c r="L159" i="75"/>
  <c r="N147" i="75"/>
  <c r="F74" i="75"/>
  <c r="D193" i="75"/>
  <c r="Q157" i="75"/>
  <c r="K99" i="75"/>
  <c r="D73" i="75"/>
  <c r="J288" i="75"/>
  <c r="F158" i="75"/>
  <c r="D185" i="75"/>
  <c r="G185" i="75" s="1"/>
  <c r="K156" i="75"/>
  <c r="D140" i="75"/>
  <c r="I99" i="75"/>
  <c r="F81" i="75"/>
  <c r="G36" i="75"/>
  <c r="D182" i="75"/>
  <c r="G182" i="75" s="1"/>
  <c r="H156" i="75"/>
  <c r="F98" i="75"/>
  <c r="D81" i="75"/>
  <c r="F66" i="75"/>
  <c r="I66" i="75" s="1"/>
  <c r="D155" i="75"/>
  <c r="E155" i="75" s="1"/>
  <c r="D98" i="75"/>
  <c r="D80" i="75"/>
  <c r="K176" i="75"/>
  <c r="P154" i="75"/>
  <c r="H116" i="75"/>
  <c r="L96" i="75"/>
  <c r="F174" i="75"/>
  <c r="I174" i="75" s="1"/>
  <c r="L153" i="75"/>
  <c r="J96" i="75"/>
  <c r="B79" i="75"/>
  <c r="C79" i="75" s="1"/>
  <c r="C63" i="75"/>
  <c r="J171" i="75"/>
  <c r="I153" i="75"/>
  <c r="H135" i="75"/>
  <c r="K135" i="75" s="1"/>
  <c r="J114" i="75"/>
  <c r="G95" i="75"/>
  <c r="N78" i="75"/>
  <c r="L24" i="75"/>
  <c r="F152" i="75"/>
  <c r="H133" i="75"/>
  <c r="K133" i="75" s="1"/>
  <c r="H114" i="75"/>
  <c r="E95" i="75"/>
  <c r="N77" i="75"/>
  <c r="E61" i="75"/>
  <c r="H61" i="75" s="1"/>
  <c r="M233" i="75"/>
  <c r="Q151" i="75"/>
  <c r="F133" i="75"/>
  <c r="B113" i="75"/>
  <c r="E113" i="75" s="1"/>
  <c r="M93" i="75"/>
  <c r="L110" i="75" s="1"/>
  <c r="L77" i="75"/>
  <c r="C61" i="75"/>
  <c r="L20" i="75"/>
  <c r="E229" i="75"/>
  <c r="N150" i="75"/>
  <c r="G131" i="75"/>
  <c r="J131" i="75" s="1"/>
  <c r="K93" i="75"/>
  <c r="L76" i="75"/>
  <c r="G59" i="75"/>
  <c r="J59" i="75" s="1"/>
  <c r="Q162" i="75"/>
  <c r="L150" i="75"/>
  <c r="D131" i="75"/>
  <c r="H92" i="75"/>
  <c r="J76" i="75"/>
  <c r="E59" i="75"/>
  <c r="H59" i="75" s="1"/>
  <c r="L16" i="75"/>
  <c r="H161" i="75"/>
  <c r="G149" i="75"/>
  <c r="I109" i="75"/>
  <c r="H75" i="75"/>
  <c r="P159" i="75"/>
  <c r="D148" i="75"/>
  <c r="E148" i="75" s="1"/>
  <c r="D127" i="75"/>
  <c r="H74" i="75"/>
  <c r="J161" i="75"/>
  <c r="I149" i="75"/>
  <c r="E129" i="75"/>
  <c r="B111" i="75"/>
  <c r="E111" i="75" s="1"/>
  <c r="F92" i="75"/>
  <c r="J75" i="75"/>
  <c r="I278" i="79" l="1"/>
  <c r="M278" i="79" s="1"/>
  <c r="M270" i="79"/>
  <c r="L297" i="79"/>
  <c r="E297" i="79"/>
  <c r="M303" i="79"/>
  <c r="H142" i="79"/>
  <c r="K142" i="79" s="1"/>
  <c r="M301" i="79"/>
  <c r="M276" i="79"/>
  <c r="M306" i="79"/>
  <c r="I307" i="79"/>
  <c r="M307" i="79" s="1"/>
  <c r="H297" i="79"/>
  <c r="E263" i="79"/>
  <c r="G263" i="79" s="1"/>
  <c r="K110" i="76"/>
  <c r="N82" i="79"/>
  <c r="K114" i="77"/>
  <c r="K115" i="76"/>
  <c r="C118" i="79"/>
  <c r="F118" i="79" s="1"/>
  <c r="F250" i="79"/>
  <c r="I250" i="79" s="1"/>
  <c r="M275" i="79"/>
  <c r="K111" i="77"/>
  <c r="C235" i="79"/>
  <c r="D235" i="79" s="1"/>
  <c r="B82" i="79"/>
  <c r="C82" i="79" s="1"/>
  <c r="M304" i="79"/>
  <c r="K117" i="77"/>
  <c r="D250" i="79"/>
  <c r="G250" i="79" s="1"/>
  <c r="I307" i="77"/>
  <c r="G263" i="78"/>
  <c r="M284" i="77"/>
  <c r="M307" i="78"/>
  <c r="E307" i="76"/>
  <c r="F263" i="79"/>
  <c r="G307" i="77"/>
  <c r="G209" i="79"/>
  <c r="K37" i="79"/>
  <c r="H67" i="79"/>
  <c r="M274" i="77"/>
  <c r="E163" i="79"/>
  <c r="F209" i="79"/>
  <c r="K118" i="79"/>
  <c r="K114" i="76"/>
  <c r="E163" i="78"/>
  <c r="K35" i="79"/>
  <c r="K116" i="76"/>
  <c r="M289" i="76"/>
  <c r="M296" i="77"/>
  <c r="L163" i="76"/>
  <c r="J101" i="77"/>
  <c r="M290" i="77"/>
  <c r="C223" i="77"/>
  <c r="F307" i="76"/>
  <c r="K35" i="78"/>
  <c r="M297" i="78"/>
  <c r="D235" i="78"/>
  <c r="K118" i="78"/>
  <c r="H25" i="76"/>
  <c r="D223" i="77"/>
  <c r="F209" i="78"/>
  <c r="G209" i="78"/>
  <c r="G101" i="77"/>
  <c r="B67" i="77"/>
  <c r="H163" i="77"/>
  <c r="J235" i="77"/>
  <c r="K116" i="77"/>
  <c r="H307" i="77"/>
  <c r="E278" i="77"/>
  <c r="F307" i="77"/>
  <c r="M301" i="77"/>
  <c r="M278" i="78"/>
  <c r="F263" i="78"/>
  <c r="C82" i="78"/>
  <c r="K38" i="78"/>
  <c r="H67" i="78"/>
  <c r="K37" i="78"/>
  <c r="F278" i="77"/>
  <c r="F193" i="77"/>
  <c r="G193" i="77"/>
  <c r="D209" i="77"/>
  <c r="F201" i="77"/>
  <c r="G201" i="77"/>
  <c r="N163" i="77"/>
  <c r="E209" i="77"/>
  <c r="F235" i="77"/>
  <c r="F82" i="77"/>
  <c r="J32" i="77"/>
  <c r="H32" i="77"/>
  <c r="F32" i="77"/>
  <c r="K82" i="77"/>
  <c r="G199" i="77"/>
  <c r="F199" i="77"/>
  <c r="K110" i="77"/>
  <c r="G207" i="77"/>
  <c r="F207" i="77"/>
  <c r="M306" i="77"/>
  <c r="M269" i="77"/>
  <c r="D278" i="77"/>
  <c r="I101" i="77"/>
  <c r="L250" i="77"/>
  <c r="F256" i="77"/>
  <c r="D263" i="77"/>
  <c r="I297" i="77"/>
  <c r="M163" i="77"/>
  <c r="F250" i="77"/>
  <c r="I250" i="77" s="1"/>
  <c r="I243" i="77"/>
  <c r="M273" i="77"/>
  <c r="M275" i="77"/>
  <c r="K101" i="77"/>
  <c r="D67" i="77"/>
  <c r="B101" i="77"/>
  <c r="K109" i="77"/>
  <c r="O235" i="77"/>
  <c r="H25" i="77"/>
  <c r="D101" i="77"/>
  <c r="F142" i="77"/>
  <c r="E307" i="77"/>
  <c r="M305" i="77"/>
  <c r="L126" i="77"/>
  <c r="I142" i="77"/>
  <c r="L142" i="77" s="1"/>
  <c r="H82" i="77"/>
  <c r="N82" i="77"/>
  <c r="D82" i="77"/>
  <c r="G142" i="77"/>
  <c r="J142" i="77" s="1"/>
  <c r="J126" i="77"/>
  <c r="M281" i="77"/>
  <c r="D297" i="77"/>
  <c r="M294" i="77"/>
  <c r="E223" i="77"/>
  <c r="L297" i="77"/>
  <c r="G278" i="77"/>
  <c r="G198" i="77"/>
  <c r="F198" i="77"/>
  <c r="K278" i="77"/>
  <c r="I58" i="77"/>
  <c r="F67" i="77"/>
  <c r="I67" i="77" s="1"/>
  <c r="E109" i="77"/>
  <c r="B118" i="77"/>
  <c r="E118" i="77" s="1"/>
  <c r="G195" i="77"/>
  <c r="F195" i="77"/>
  <c r="K112" i="77"/>
  <c r="M282" i="77"/>
  <c r="M277" i="77"/>
  <c r="L278" i="77"/>
  <c r="K117" i="76"/>
  <c r="G200" i="77"/>
  <c r="F200" i="77"/>
  <c r="K216" i="77"/>
  <c r="H223" i="77"/>
  <c r="K223" i="77" s="1"/>
  <c r="G45" i="77"/>
  <c r="K297" i="77"/>
  <c r="G208" i="77"/>
  <c r="F208" i="77"/>
  <c r="E235" i="77"/>
  <c r="G243" i="77"/>
  <c r="D250" i="77"/>
  <c r="G250" i="77" s="1"/>
  <c r="L307" i="77"/>
  <c r="H297" i="77"/>
  <c r="M285" i="77"/>
  <c r="D82" i="76"/>
  <c r="I278" i="76"/>
  <c r="E82" i="77"/>
  <c r="I118" i="77"/>
  <c r="J82" i="77"/>
  <c r="M270" i="77"/>
  <c r="G206" i="77"/>
  <c r="F206" i="77"/>
  <c r="L163" i="77"/>
  <c r="F25" i="77"/>
  <c r="F196" i="77"/>
  <c r="G196" i="77"/>
  <c r="K307" i="77"/>
  <c r="M283" i="77"/>
  <c r="M235" i="77"/>
  <c r="F197" i="77"/>
  <c r="G197" i="77"/>
  <c r="J118" i="77"/>
  <c r="L187" i="77"/>
  <c r="M101" i="77"/>
  <c r="L118" i="77" s="1"/>
  <c r="L109" i="77"/>
  <c r="K113" i="77"/>
  <c r="F223" i="77"/>
  <c r="I223" i="77" s="1"/>
  <c r="I216" i="77"/>
  <c r="M302" i="77"/>
  <c r="O82" i="77"/>
  <c r="H171" i="77"/>
  <c r="E187" i="77"/>
  <c r="H187" i="77" s="1"/>
  <c r="Q163" i="77"/>
  <c r="F202" i="77"/>
  <c r="G202" i="77"/>
  <c r="D142" i="77"/>
  <c r="H142" i="77"/>
  <c r="K142" i="77" s="1"/>
  <c r="K126" i="77"/>
  <c r="M304" i="77"/>
  <c r="I235" i="77"/>
  <c r="K111" i="76"/>
  <c r="M284" i="76"/>
  <c r="J250" i="77"/>
  <c r="C67" i="77"/>
  <c r="L82" i="77"/>
  <c r="I163" i="77"/>
  <c r="N235" i="77"/>
  <c r="E101" i="77"/>
  <c r="M287" i="77"/>
  <c r="M289" i="77"/>
  <c r="P163" i="77"/>
  <c r="P235" i="76"/>
  <c r="K235" i="77"/>
  <c r="J216" i="77"/>
  <c r="G223" i="77"/>
  <c r="J223" i="77" s="1"/>
  <c r="D118" i="77"/>
  <c r="G118" i="77" s="1"/>
  <c r="G109" i="77"/>
  <c r="M300" i="77"/>
  <c r="D307" i="77"/>
  <c r="J187" i="77"/>
  <c r="J278" i="77"/>
  <c r="M276" i="77"/>
  <c r="G297" i="77"/>
  <c r="F187" i="77"/>
  <c r="I187" i="77" s="1"/>
  <c r="I171" i="77"/>
  <c r="K187" i="76"/>
  <c r="E209" i="76"/>
  <c r="M276" i="76"/>
  <c r="H101" i="77"/>
  <c r="G82" i="77"/>
  <c r="G204" i="77"/>
  <c r="F204" i="77"/>
  <c r="F205" i="77"/>
  <c r="G205" i="77"/>
  <c r="J297" i="77"/>
  <c r="C73" i="77"/>
  <c r="B82" i="77"/>
  <c r="J25" i="77"/>
  <c r="M293" i="77"/>
  <c r="E101" i="76"/>
  <c r="I101" i="76"/>
  <c r="L25" i="76"/>
  <c r="G203" i="77"/>
  <c r="F203" i="77"/>
  <c r="I82" i="77"/>
  <c r="D163" i="77"/>
  <c r="E147" i="77"/>
  <c r="C235" i="77"/>
  <c r="D228" i="77"/>
  <c r="J58" i="77"/>
  <c r="G67" i="77"/>
  <c r="J67" i="77" s="1"/>
  <c r="D187" i="77"/>
  <c r="G187" i="77" s="1"/>
  <c r="G171" i="77"/>
  <c r="E142" i="77"/>
  <c r="F101" i="77"/>
  <c r="F297" i="77"/>
  <c r="M291" i="77"/>
  <c r="O235" i="76"/>
  <c r="K187" i="77"/>
  <c r="H278" i="77"/>
  <c r="F163" i="77"/>
  <c r="G235" i="77"/>
  <c r="J163" i="77"/>
  <c r="L235" i="77"/>
  <c r="M288" i="77"/>
  <c r="P235" i="77"/>
  <c r="K115" i="77"/>
  <c r="L25" i="77"/>
  <c r="H235" i="77"/>
  <c r="K250" i="77"/>
  <c r="H118" i="77"/>
  <c r="M272" i="77"/>
  <c r="H58" i="77"/>
  <c r="E67" i="77"/>
  <c r="G194" i="77"/>
  <c r="F194" i="77"/>
  <c r="M292" i="77"/>
  <c r="G256" i="77"/>
  <c r="E263" i="77"/>
  <c r="E250" i="77"/>
  <c r="H250" i="77" s="1"/>
  <c r="H243" i="77"/>
  <c r="K163" i="77"/>
  <c r="M295" i="77"/>
  <c r="O163" i="77"/>
  <c r="I278" i="77"/>
  <c r="J307" i="77"/>
  <c r="G163" i="77"/>
  <c r="J25" i="76"/>
  <c r="G82" i="76"/>
  <c r="J307" i="76"/>
  <c r="L101" i="77"/>
  <c r="M82" i="77"/>
  <c r="F109" i="77"/>
  <c r="C118" i="77"/>
  <c r="F118" i="77" s="1"/>
  <c r="M271" i="77"/>
  <c r="E297" i="77"/>
  <c r="M286" i="77"/>
  <c r="M303" i="77"/>
  <c r="F207" i="76"/>
  <c r="G207" i="76"/>
  <c r="F67" i="76"/>
  <c r="I67" i="76" s="1"/>
  <c r="I58" i="76"/>
  <c r="E278" i="76"/>
  <c r="B118" i="76"/>
  <c r="E118" i="76" s="1"/>
  <c r="E109" i="76"/>
  <c r="M290" i="76"/>
  <c r="G243" i="76"/>
  <c r="D250" i="76"/>
  <c r="G250" i="76" s="1"/>
  <c r="M291" i="76"/>
  <c r="M270" i="76"/>
  <c r="H163" i="76"/>
  <c r="K163" i="76"/>
  <c r="M272" i="76"/>
  <c r="N82" i="76"/>
  <c r="J187" i="76"/>
  <c r="M292" i="76"/>
  <c r="F197" i="76"/>
  <c r="G197" i="76"/>
  <c r="K112" i="76"/>
  <c r="J163" i="76"/>
  <c r="G204" i="76"/>
  <c r="F204" i="76"/>
  <c r="K307" i="76"/>
  <c r="G194" i="76"/>
  <c r="F194" i="76"/>
  <c r="G208" i="76"/>
  <c r="F208" i="76"/>
  <c r="L235" i="76"/>
  <c r="G45" i="76"/>
  <c r="F297" i="76"/>
  <c r="M306" i="76"/>
  <c r="G197" i="75"/>
  <c r="F197" i="75"/>
  <c r="H101" i="76"/>
  <c r="D67" i="76"/>
  <c r="H82" i="76"/>
  <c r="F203" i="76"/>
  <c r="G203" i="76"/>
  <c r="K297" i="76"/>
  <c r="P163" i="76"/>
  <c r="J118" i="76"/>
  <c r="D223" i="76"/>
  <c r="I82" i="76"/>
  <c r="G223" i="76"/>
  <c r="J223" i="76" s="1"/>
  <c r="J216" i="76"/>
  <c r="G278" i="76"/>
  <c r="K126" i="76"/>
  <c r="H142" i="76"/>
  <c r="K142" i="76" s="1"/>
  <c r="K113" i="76"/>
  <c r="E235" i="76"/>
  <c r="J278" i="76"/>
  <c r="M301" i="76"/>
  <c r="C223" i="76"/>
  <c r="I216" i="76"/>
  <c r="F223" i="76"/>
  <c r="I223" i="76" s="1"/>
  <c r="G202" i="75"/>
  <c r="F198" i="75"/>
  <c r="G198" i="75"/>
  <c r="G195" i="75"/>
  <c r="F195" i="75"/>
  <c r="Q163" i="76"/>
  <c r="F32" i="76"/>
  <c r="J32" i="76"/>
  <c r="H32" i="76"/>
  <c r="F101" i="76"/>
  <c r="F199" i="76"/>
  <c r="G199" i="76"/>
  <c r="G235" i="76"/>
  <c r="M235" i="76"/>
  <c r="G307" i="76"/>
  <c r="M286" i="76"/>
  <c r="J297" i="76"/>
  <c r="G205" i="75"/>
  <c r="F205" i="75"/>
  <c r="F199" i="75"/>
  <c r="G199" i="75"/>
  <c r="F195" i="76"/>
  <c r="G195" i="76"/>
  <c r="F163" i="76"/>
  <c r="C235" i="76"/>
  <c r="D228" i="76"/>
  <c r="M305" i="76"/>
  <c r="M273" i="76"/>
  <c r="I297" i="76"/>
  <c r="N235" i="76"/>
  <c r="F307" i="75"/>
  <c r="G203" i="75"/>
  <c r="F203" i="75"/>
  <c r="B67" i="76"/>
  <c r="C67" i="76"/>
  <c r="I118" i="76"/>
  <c r="F201" i="76"/>
  <c r="G201" i="76"/>
  <c r="O163" i="76"/>
  <c r="J82" i="76"/>
  <c r="G171" i="76"/>
  <c r="D187" i="76"/>
  <c r="G187" i="76" s="1"/>
  <c r="H171" i="76"/>
  <c r="E187" i="76"/>
  <c r="H187" i="76" s="1"/>
  <c r="G101" i="76"/>
  <c r="M303" i="76"/>
  <c r="J126" i="76"/>
  <c r="G142" i="76"/>
  <c r="J142" i="76" s="1"/>
  <c r="M295" i="76"/>
  <c r="M271" i="76"/>
  <c r="C73" i="76"/>
  <c r="B82" i="76"/>
  <c r="H243" i="76"/>
  <c r="E250" i="76"/>
  <c r="H250" i="76" s="1"/>
  <c r="K235" i="76"/>
  <c r="G206" i="75"/>
  <c r="G196" i="75"/>
  <c r="F196" i="75"/>
  <c r="G207" i="75"/>
  <c r="F207" i="75"/>
  <c r="F82" i="76"/>
  <c r="K216" i="76"/>
  <c r="H223" i="76"/>
  <c r="K223" i="76" s="1"/>
  <c r="D142" i="76"/>
  <c r="E142" i="76"/>
  <c r="G206" i="76"/>
  <c r="F206" i="76"/>
  <c r="H307" i="76"/>
  <c r="G67" i="76"/>
  <c r="J67" i="76" s="1"/>
  <c r="J58" i="76"/>
  <c r="L297" i="76"/>
  <c r="I307" i="76"/>
  <c r="G194" i="75"/>
  <c r="F194" i="75"/>
  <c r="F200" i="75"/>
  <c r="G200" i="75"/>
  <c r="L187" i="76"/>
  <c r="H118" i="76"/>
  <c r="N163" i="76"/>
  <c r="K82" i="76"/>
  <c r="O82" i="76"/>
  <c r="L278" i="76"/>
  <c r="G200" i="76"/>
  <c r="F200" i="76"/>
  <c r="K109" i="76"/>
  <c r="B101" i="76"/>
  <c r="E223" i="76"/>
  <c r="E263" i="76"/>
  <c r="G256" i="76"/>
  <c r="M302" i="76"/>
  <c r="E297" i="76"/>
  <c r="J235" i="76"/>
  <c r="M288" i="76"/>
  <c r="G204" i="75"/>
  <c r="F204" i="75"/>
  <c r="D118" i="76"/>
  <c r="G118" i="76" s="1"/>
  <c r="G109" i="76"/>
  <c r="M285" i="76"/>
  <c r="L101" i="76"/>
  <c r="M101" i="76"/>
  <c r="L118" i="76" s="1"/>
  <c r="L109" i="76"/>
  <c r="L82" i="76"/>
  <c r="K250" i="76"/>
  <c r="H235" i="76"/>
  <c r="F235" i="76"/>
  <c r="M294" i="76"/>
  <c r="H297" i="76"/>
  <c r="F201" i="75"/>
  <c r="G201" i="75"/>
  <c r="G208" i="75"/>
  <c r="G163" i="76"/>
  <c r="K101" i="76"/>
  <c r="I163" i="76"/>
  <c r="M82" i="76"/>
  <c r="H278" i="76"/>
  <c r="M283" i="76"/>
  <c r="L250" i="76"/>
  <c r="E82" i="76"/>
  <c r="D278" i="76"/>
  <c r="M269" i="76"/>
  <c r="G196" i="76"/>
  <c r="F196" i="76"/>
  <c r="M281" i="76"/>
  <c r="D297" i="76"/>
  <c r="M274" i="76"/>
  <c r="K278" i="76"/>
  <c r="L307" i="76"/>
  <c r="I235" i="76"/>
  <c r="I243" i="76"/>
  <c r="F250" i="76"/>
  <c r="I250" i="76" s="1"/>
  <c r="M275" i="76"/>
  <c r="M300" i="76"/>
  <c r="D307" i="76"/>
  <c r="E147" i="76"/>
  <c r="D163" i="76"/>
  <c r="G297" i="76"/>
  <c r="I171" i="76"/>
  <c r="F187" i="76"/>
  <c r="I187" i="76" s="1"/>
  <c r="M277" i="76"/>
  <c r="I142" i="76"/>
  <c r="L142" i="76" s="1"/>
  <c r="L126" i="76"/>
  <c r="F25" i="76"/>
  <c r="M293" i="76"/>
  <c r="F193" i="76"/>
  <c r="D209" i="76"/>
  <c r="G193" i="76"/>
  <c r="M282" i="76"/>
  <c r="M304" i="76"/>
  <c r="M296" i="76"/>
  <c r="D263" i="76"/>
  <c r="F256" i="76"/>
  <c r="G193" i="75"/>
  <c r="F193" i="75"/>
  <c r="M163" i="76"/>
  <c r="J101" i="76"/>
  <c r="E67" i="76"/>
  <c r="H58" i="76"/>
  <c r="F278" i="76"/>
  <c r="F142" i="76"/>
  <c r="F205" i="76"/>
  <c r="G205" i="76"/>
  <c r="F109" i="76"/>
  <c r="C118" i="76"/>
  <c r="F118" i="76" s="1"/>
  <c r="J250" i="76"/>
  <c r="G202" i="76"/>
  <c r="F202" i="76"/>
  <c r="M287" i="76"/>
  <c r="G198" i="76"/>
  <c r="F198" i="76"/>
  <c r="D101" i="76"/>
  <c r="I307" i="75"/>
  <c r="M271" i="75"/>
  <c r="M272" i="75"/>
  <c r="K114" i="75"/>
  <c r="M289" i="75"/>
  <c r="F101" i="75"/>
  <c r="E82" i="75"/>
  <c r="K111" i="75"/>
  <c r="M287" i="75"/>
  <c r="M277" i="75"/>
  <c r="G101" i="75"/>
  <c r="H101" i="75"/>
  <c r="F82" i="75"/>
  <c r="I118" i="75"/>
  <c r="O235" i="75"/>
  <c r="M305" i="75"/>
  <c r="M295" i="75"/>
  <c r="H118" i="75"/>
  <c r="K82" i="75"/>
  <c r="I58" i="75"/>
  <c r="F67" i="75"/>
  <c r="I67" i="75" s="1"/>
  <c r="J58" i="75"/>
  <c r="G67" i="75"/>
  <c r="J67" i="75" s="1"/>
  <c r="H163" i="75"/>
  <c r="P235" i="75"/>
  <c r="E235" i="75"/>
  <c r="E297" i="75"/>
  <c r="I297" i="75"/>
  <c r="M275" i="75"/>
  <c r="F223" i="75"/>
  <c r="I223" i="75" s="1"/>
  <c r="I216" i="75"/>
  <c r="K116" i="75"/>
  <c r="C235" i="75"/>
  <c r="D228" i="75"/>
  <c r="F235" i="75"/>
  <c r="M294" i="75"/>
  <c r="D187" i="75"/>
  <c r="G187" i="75" s="1"/>
  <c r="G171" i="75"/>
  <c r="M296" i="75"/>
  <c r="J250" i="75"/>
  <c r="M290" i="75"/>
  <c r="J101" i="75"/>
  <c r="K101" i="75"/>
  <c r="I163" i="75"/>
  <c r="B82" i="75"/>
  <c r="I142" i="75"/>
  <c r="L142" i="75" s="1"/>
  <c r="L126" i="75"/>
  <c r="G307" i="75"/>
  <c r="H142" i="75"/>
  <c r="K142" i="75" s="1"/>
  <c r="K126" i="75"/>
  <c r="L278" i="75"/>
  <c r="E223" i="75"/>
  <c r="L297" i="75"/>
  <c r="N235" i="75"/>
  <c r="M82" i="75"/>
  <c r="J126" i="75"/>
  <c r="G142" i="75"/>
  <c r="J142" i="75" s="1"/>
  <c r="M284" i="75"/>
  <c r="K278" i="75"/>
  <c r="L307" i="75"/>
  <c r="H297" i="75"/>
  <c r="J235" i="75"/>
  <c r="M270" i="75"/>
  <c r="D82" i="75"/>
  <c r="E263" i="75"/>
  <c r="G256" i="75"/>
  <c r="L82" i="75"/>
  <c r="K109" i="75"/>
  <c r="B101" i="75"/>
  <c r="K163" i="75"/>
  <c r="Q163" i="75"/>
  <c r="M283" i="75"/>
  <c r="M285" i="75"/>
  <c r="L25" i="75"/>
  <c r="M282" i="75"/>
  <c r="G223" i="75"/>
  <c r="J223" i="75" s="1"/>
  <c r="J216" i="75"/>
  <c r="N82" i="75"/>
  <c r="B118" i="75"/>
  <c r="E118" i="75" s="1"/>
  <c r="E109" i="75"/>
  <c r="J163" i="75"/>
  <c r="E307" i="75"/>
  <c r="F278" i="75"/>
  <c r="M304" i="75"/>
  <c r="I235" i="75"/>
  <c r="M306" i="75"/>
  <c r="M235" i="75"/>
  <c r="P163" i="75"/>
  <c r="I101" i="75"/>
  <c r="B67" i="75"/>
  <c r="L101" i="75"/>
  <c r="E147" i="75"/>
  <c r="D163" i="75"/>
  <c r="E278" i="75"/>
  <c r="M163" i="75"/>
  <c r="D209" i="75"/>
  <c r="M101" i="75"/>
  <c r="L118" i="75" s="1"/>
  <c r="L109" i="75"/>
  <c r="F163" i="75"/>
  <c r="F25" i="75"/>
  <c r="L163" i="75"/>
  <c r="D250" i="75"/>
  <c r="G250" i="75" s="1"/>
  <c r="M276" i="75"/>
  <c r="G297" i="75"/>
  <c r="C223" i="75"/>
  <c r="L250" i="75"/>
  <c r="J187" i="75"/>
  <c r="M300" i="75"/>
  <c r="D307" i="75"/>
  <c r="L187" i="75"/>
  <c r="C67" i="75"/>
  <c r="J32" i="75"/>
  <c r="H32" i="75"/>
  <c r="F32" i="75"/>
  <c r="O82" i="75"/>
  <c r="F109" i="75"/>
  <c r="C118" i="75"/>
  <c r="F118" i="75" s="1"/>
  <c r="D278" i="75"/>
  <c r="M269" i="75"/>
  <c r="M292" i="75"/>
  <c r="O163" i="75"/>
  <c r="I278" i="75"/>
  <c r="J307" i="75"/>
  <c r="K307" i="75"/>
  <c r="G235" i="75"/>
  <c r="J297" i="75"/>
  <c r="K297" i="75"/>
  <c r="F187" i="75"/>
  <c r="I187" i="75" s="1"/>
  <c r="I171" i="75"/>
  <c r="N163" i="75"/>
  <c r="E101" i="75"/>
  <c r="F297" i="75"/>
  <c r="M291" i="75"/>
  <c r="M293" i="75"/>
  <c r="H82" i="75"/>
  <c r="D67" i="75"/>
  <c r="D142" i="75"/>
  <c r="H25" i="75"/>
  <c r="D101" i="75"/>
  <c r="H278" i="75"/>
  <c r="E209" i="75"/>
  <c r="H235" i="75"/>
  <c r="K235" i="75"/>
  <c r="D223" i="75"/>
  <c r="D263" i="75"/>
  <c r="F256" i="75"/>
  <c r="I82" i="75"/>
  <c r="G163" i="75"/>
  <c r="D118" i="75"/>
  <c r="G118" i="75" s="1"/>
  <c r="G109" i="75"/>
  <c r="J25" i="75"/>
  <c r="J278" i="75"/>
  <c r="K250" i="75"/>
  <c r="J118" i="75"/>
  <c r="K110" i="75"/>
  <c r="K113" i="75"/>
  <c r="E142" i="75"/>
  <c r="K112" i="75"/>
  <c r="G278" i="75"/>
  <c r="H307" i="75"/>
  <c r="M286" i="75"/>
  <c r="M288" i="75"/>
  <c r="L235" i="75"/>
  <c r="H58" i="75"/>
  <c r="E67" i="75"/>
  <c r="G45" i="75"/>
  <c r="K115" i="75"/>
  <c r="H223" i="75"/>
  <c r="K223" i="75" s="1"/>
  <c r="K216" i="75"/>
  <c r="M302" i="75"/>
  <c r="M301" i="75"/>
  <c r="M303" i="75"/>
  <c r="J82" i="75"/>
  <c r="F142" i="75"/>
  <c r="E187" i="75"/>
  <c r="H187" i="75" s="1"/>
  <c r="H171" i="75"/>
  <c r="M281" i="75"/>
  <c r="D297" i="75"/>
  <c r="H243" i="75"/>
  <c r="E250" i="75"/>
  <c r="H250" i="75" s="1"/>
  <c r="K187" i="75"/>
  <c r="G82" i="75"/>
  <c r="M274" i="75"/>
  <c r="I243" i="75"/>
  <c r="F250" i="75"/>
  <c r="I250" i="75" s="1"/>
  <c r="M273" i="75"/>
  <c r="M297" i="79" l="1"/>
  <c r="K38" i="79"/>
  <c r="K42" i="79" s="1"/>
  <c r="K118" i="77"/>
  <c r="K35" i="77"/>
  <c r="F263" i="77"/>
  <c r="K42" i="78"/>
  <c r="E163" i="77"/>
  <c r="E163" i="76"/>
  <c r="C82" i="77"/>
  <c r="K38" i="77"/>
  <c r="M307" i="77"/>
  <c r="G209" i="77"/>
  <c r="G209" i="76"/>
  <c r="D235" i="77"/>
  <c r="G263" i="77"/>
  <c r="M278" i="77"/>
  <c r="F209" i="77"/>
  <c r="M297" i="77"/>
  <c r="H67" i="77"/>
  <c r="K37" i="77"/>
  <c r="C82" i="76"/>
  <c r="K38" i="76"/>
  <c r="F209" i="76"/>
  <c r="K35" i="76"/>
  <c r="F263" i="75"/>
  <c r="F209" i="75"/>
  <c r="H67" i="76"/>
  <c r="K37" i="76"/>
  <c r="M297" i="76"/>
  <c r="G209" i="75"/>
  <c r="D235" i="76"/>
  <c r="M278" i="76"/>
  <c r="G263" i="76"/>
  <c r="F263" i="76"/>
  <c r="M307" i="76"/>
  <c r="K118" i="76"/>
  <c r="G263" i="75"/>
  <c r="D235" i="75"/>
  <c r="E163" i="75"/>
  <c r="K118" i="75"/>
  <c r="M297" i="75"/>
  <c r="C82" i="75"/>
  <c r="H67" i="75"/>
  <c r="K35" i="75"/>
  <c r="M278" i="75"/>
  <c r="M307" i="75"/>
  <c r="K42" i="77" l="1"/>
  <c r="K42" i="76"/>
  <c r="K42" i="75"/>
  <c r="W8004" i="58" l="1"/>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W265" i="58"/>
  <c r="W264" i="58"/>
  <c r="W263" i="58"/>
  <c r="W262" i="58"/>
  <c r="W261" i="58"/>
  <c r="W260" i="58"/>
  <c r="W259" i="58"/>
  <c r="W258" i="58"/>
  <c r="W257" i="58"/>
  <c r="W256"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2"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5" i="58"/>
  <c r="W184" i="58"/>
  <c r="W183" i="58"/>
  <c r="W182" i="58"/>
  <c r="W181" i="58"/>
  <c r="W180" i="58"/>
  <c r="W179" i="58"/>
  <c r="W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W145" i="58"/>
  <c r="W144" i="58"/>
  <c r="W143" i="58"/>
  <c r="W142" i="58"/>
  <c r="W141"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4"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G10" i="31" l="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alcChain>
</file>

<file path=xl/sharedStrings.xml><?xml version="1.0" encoding="utf-8"?>
<sst xmlns="http://schemas.openxmlformats.org/spreadsheetml/2006/main" count="3072" uniqueCount="791">
  <si>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</si>
  <si>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</si>
  <si>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</si>
  <si>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</si>
  <si>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</si>
  <si>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</si>
  <si>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</si>
  <si>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</si>
  <si>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</si>
  <si>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</si>
  <si>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</si>
  <si>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</si>
  <si>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</si>
  <si>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</si>
  <si>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</si>
  <si>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</si>
  <si>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</si>
  <si>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</si>
  <si>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</si>
  <si>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</si>
  <si>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</si>
  <si>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</si>
  <si>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</si>
  <si>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</si>
  <si>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</si>
  <si>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</si>
  <si>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</si>
  <si>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</si>
  <si>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</si>
  <si>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</si>
  <si>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</si>
  <si>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</si>
  <si>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</si>
  <si>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</si>
  <si>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</si>
  <si>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</si>
  <si>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</si>
  <si>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</si>
  <si>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</si>
  <si>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</si>
  <si>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</si>
  <si>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</si>
  <si>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</si>
  <si>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</si>
  <si>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</si>
  <si>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</si>
  <si>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</si>
  <si>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</si>
  <si>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</si>
  <si>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</si>
  <si>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</si>
  <si>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</si>
  <si>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</si>
  <si>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</si>
  <si>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</si>
  <si>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</si>
  <si>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</si>
  <si>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</si>
  <si>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</si>
  <si>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</si>
  <si>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</si>
  <si>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</si>
  <si>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</si>
  <si>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</si>
  <si>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</si>
  <si>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</si>
  <si>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</si>
  <si>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</si>
  <si>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</si>
  <si>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</si>
  <si>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</si>
  <si>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</si>
  <si>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</si>
  <si>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</si>
  <si>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</si>
  <si>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</si>
  <si>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</si>
  <si>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</si>
  <si>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</si>
  <si>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</si>
  <si>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</si>
  <si>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</si>
  <si>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</si>
  <si>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</si>
  <si>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</si>
  <si>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</si>
  <si>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</si>
  <si>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</si>
  <si>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</si>
  <si>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</si>
  <si>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</si>
  <si>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</si>
  <si>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</si>
  <si>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</si>
  <si>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</si>
  <si>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</si>
  <si>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</si>
  <si>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</si>
  <si>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</si>
  <si>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</si>
  <si>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</si>
  <si>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</si>
  <si>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</si>
  <si>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</si>
  <si>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</si>
  <si>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</si>
  <si>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</si>
  <si>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</si>
  <si>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</si>
  <si>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</si>
  <si>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</si>
  <si>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</si>
  <si>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</si>
  <si>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</si>
  <si>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</si>
  <si>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</si>
  <si>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</si>
  <si>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</si>
  <si>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</si>
  <si>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</si>
  <si>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</si>
  <si>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</si>
  <si>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</si>
  <si>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</si>
  <si>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</si>
  <si>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</si>
  <si>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</si>
  <si>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</si>
  <si>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</si>
  <si>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</si>
  <si>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</si>
  <si>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</si>
  <si>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</si>
  <si>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</si>
  <si>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</si>
  <si>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</si>
  <si>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</si>
  <si>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</si>
  <si>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</si>
  <si>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</si>
  <si>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</si>
  <si>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</si>
  <si>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</si>
  <si>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</si>
  <si>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</si>
  <si>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</si>
  <si>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</si>
  <si>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</si>
  <si>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</si>
  <si>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</si>
  <si>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</si>
  <si>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</si>
  <si>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</si>
  <si>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</si>
  <si>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</si>
  <si>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</si>
  <si>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</si>
  <si>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</si>
  <si>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</si>
  <si>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</si>
  <si>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</si>
  <si>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</si>
  <si>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</si>
  <si>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</si>
  <si>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</si>
  <si>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</si>
  <si>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</si>
  <si>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</si>
  <si>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</si>
  <si>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</si>
  <si>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</si>
  <si>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</si>
  <si>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</si>
  <si>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</si>
  <si>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</si>
  <si>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</si>
  <si>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</si>
  <si>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</si>
  <si>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</si>
  <si>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</si>
  <si>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</si>
  <si>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</si>
  <si>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</si>
  <si>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</si>
  <si>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</si>
  <si>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</si>
  <si>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</si>
  <si>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</si>
  <si>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</si>
  <si>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</si>
  <si>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</si>
  <si>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</si>
  <si>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</si>
  <si>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</si>
  <si>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</si>
  <si>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</si>
  <si>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</si>
  <si>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</si>
  <si>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</si>
  <si>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</si>
  <si>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</si>
  <si>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</si>
  <si>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</si>
  <si>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</si>
  <si>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</si>
  <si>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</si>
  <si>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</si>
  <si>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</si>
  <si>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</si>
  <si>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</si>
  <si>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</si>
  <si>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</si>
  <si>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</si>
  <si>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</si>
  <si>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</si>
  <si>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</si>
  <si>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</si>
  <si>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</si>
  <si>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</si>
  <si>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</si>
  <si>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</si>
  <si>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</si>
  <si>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</si>
  <si>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</si>
  <si>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</si>
  <si>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</si>
  <si>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</si>
  <si>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</si>
  <si>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</si>
  <si>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</si>
  <si>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</si>
  <si>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</si>
  <si>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</si>
  <si>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</si>
  <si>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</si>
  <si>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</si>
  <si>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</si>
  <si>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</si>
  <si>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</si>
  <si>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</si>
  <si>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</si>
  <si>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</si>
  <si>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</si>
  <si>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</si>
  <si>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</si>
  <si>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</si>
  <si>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</si>
  <si>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</si>
  <si>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</si>
  <si>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</si>
  <si>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</si>
  <si>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</si>
  <si>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</si>
  <si>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</si>
  <si>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</si>
  <si>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</si>
  <si>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</si>
  <si>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</si>
  <si>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</si>
  <si>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</si>
  <si>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</si>
  <si>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</si>
  <si>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</si>
  <si>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</si>
  <si>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</si>
  <si>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</si>
  <si>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</si>
  <si>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</si>
  <si>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</si>
  <si>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</si>
  <si>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</si>
  <si>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</si>
  <si>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</si>
  <si>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</si>
  <si>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</si>
  <si>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</si>
  <si>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</si>
  <si>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</si>
  <si>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</si>
  <si>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</si>
  <si>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</si>
  <si>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</si>
  <si>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</si>
  <si>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</si>
  <si>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</si>
  <si>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</si>
  <si>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</si>
  <si>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</si>
  <si>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</si>
  <si>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</si>
  <si>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</si>
  <si>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</si>
  <si>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</si>
  <si>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</si>
  <si>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</si>
  <si>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</si>
  <si>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</si>
  <si>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</si>
  <si>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</si>
  <si>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</si>
  <si>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</si>
  <si>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</si>
  <si>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</si>
  <si>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</si>
  <si>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</si>
  <si>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</si>
  <si>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</si>
  <si>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</si>
  <si>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</si>
  <si>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</si>
  <si>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</si>
  <si>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</si>
  <si>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</si>
  <si>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</si>
  <si>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</si>
  <si>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</si>
  <si>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</si>
  <si>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</si>
  <si>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</si>
  <si>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</si>
  <si>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</si>
  <si>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</si>
  <si>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</si>
  <si>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</si>
  <si>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</si>
  <si>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</si>
  <si>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</si>
  <si>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</si>
  <si>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</si>
  <si>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</si>
  <si>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</si>
  <si>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</si>
  <si>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</si>
  <si>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</si>
  <si>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</si>
  <si>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</si>
  <si>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</si>
  <si>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</si>
  <si>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</si>
  <si>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</si>
  <si>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</si>
  <si>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</si>
  <si>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</si>
  <si>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</si>
  <si>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</si>
  <si>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</si>
  <si>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</si>
  <si>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</si>
  <si>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</si>
  <si>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</si>
  <si>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</si>
  <si>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</si>
  <si>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</si>
  <si>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</si>
  <si>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</si>
  <si>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</si>
  <si>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</si>
  <si>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</si>
  <si>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</si>
  <si>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</si>
  <si>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</si>
  <si>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</si>
  <si>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</si>
  <si>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</si>
  <si>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</si>
  <si>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</si>
  <si>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</si>
  <si>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</si>
  <si>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</si>
  <si>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</si>
  <si>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</si>
  <si>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</si>
  <si>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</si>
  <si>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</si>
  <si>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</si>
  <si>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</si>
  <si>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</si>
  <si>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</si>
  <si>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</si>
  <si>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</si>
  <si>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</si>
  <si>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</si>
  <si>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</si>
  <si>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</si>
  <si>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</si>
  <si>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</si>
  <si>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</si>
  <si>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</si>
  <si>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</si>
  <si>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</si>
  <si>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</si>
  <si>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</si>
  <si>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</si>
  <si>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</si>
  <si>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</si>
  <si>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</si>
  <si>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</si>
  <si>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</si>
  <si>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</si>
  <si>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</si>
  <si>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</si>
  <si>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</si>
  <si>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</si>
  <si>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</si>
  <si>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</si>
  <si>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</si>
  <si>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</si>
  <si>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</si>
  <si>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</si>
  <si>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</si>
  <si>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</si>
  <si>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</si>
  <si>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</si>
  <si>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</si>
  <si>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</si>
  <si>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</si>
  <si>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</si>
  <si>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</si>
  <si>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</si>
  <si>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</si>
  <si>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</si>
  <si>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</si>
  <si>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</si>
  <si>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</si>
  <si>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</si>
  <si>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</si>
  <si>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</si>
  <si>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</si>
  <si>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</si>
  <si>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</si>
  <si>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</si>
  <si>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</si>
  <si>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</si>
  <si>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</si>
  <si>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</si>
  <si>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</si>
  <si>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</si>
  <si>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</si>
  <si>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</si>
  <si>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</si>
  <si>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</si>
  <si>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</si>
  <si>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</si>
  <si>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</si>
  <si>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</si>
  <si>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</si>
  <si>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</si>
  <si>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</si>
  <si>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</si>
  <si>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</si>
  <si>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</si>
  <si>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</si>
  <si>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</si>
  <si>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</si>
  <si>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</si>
  <si>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</si>
  <si>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</si>
  <si>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</si>
  <si>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</si>
  <si>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</si>
  <si>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</si>
  <si>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</si>
  <si>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</si>
  <si>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</si>
  <si>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</si>
  <si>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</si>
  <si>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</si>
  <si>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</si>
  <si>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</si>
  <si>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</si>
  <si>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</si>
  <si>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</si>
  <si>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</si>
  <si>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</si>
  <si>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</si>
  <si>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</si>
  <si>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</si>
  <si>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</si>
  <si>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</si>
  <si>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</si>
  <si>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</si>
  <si>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</si>
  <si>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</si>
  <si>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</si>
  <si>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</si>
  <si>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</si>
  <si>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</si>
  <si>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</si>
  <si>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</si>
  <si>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</si>
  <si>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</si>
  <si>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</si>
  <si>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</si>
  <si>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</si>
  <si>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</si>
  <si>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</si>
  <si>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</si>
  <si>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</si>
  <si>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</si>
  <si>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</si>
  <si>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</si>
  <si>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</si>
  <si>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</si>
  <si>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</si>
  <si>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</si>
  <si>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</si>
  <si>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</si>
  <si>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</si>
  <si>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</si>
  <si>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</si>
  <si>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</si>
  <si>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</si>
  <si>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</si>
  <si>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</si>
  <si>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</si>
  <si>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</si>
  <si>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</si>
  <si>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</si>
  <si>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</si>
  <si>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</si>
  <si>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</si>
  <si>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</si>
  <si>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</si>
  <si>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</si>
  <si>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</si>
  <si>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</si>
  <si>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</si>
  <si>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</si>
  <si>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</si>
  <si>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</si>
  <si>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</si>
  <si>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</si>
  <si>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</si>
  <si>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</si>
  <si>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</si>
  <si>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</si>
  <si>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</si>
  <si>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</si>
  <si>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</si>
  <si>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</si>
  <si>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</si>
  <si>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</si>
  <si>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</si>
  <si>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</si>
  <si>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</si>
  <si>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</si>
  <si>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</si>
  <si>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</si>
  <si>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</si>
  <si>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</si>
  <si>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</si>
  <si>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</si>
  <si>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</si>
  <si>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</si>
  <si>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</si>
  <si>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</si>
  <si>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</si>
  <si>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</si>
  <si>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</si>
  <si>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</si>
  <si>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</si>
  <si>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</si>
  <si>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</si>
  <si>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</si>
  <si>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</si>
  <si>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</si>
  <si>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</si>
  <si>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</si>
  <si>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</si>
  <si>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</si>
  <si>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</si>
  <si>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</si>
  <si>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</si>
  <si>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</si>
  <si>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</si>
  <si>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</si>
  <si>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</si>
  <si>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</si>
  <si>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</si>
  <si>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</si>
  <si>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</si>
  <si>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</si>
  <si>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</si>
  <si>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</si>
  <si>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</si>
  <si>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</si>
  <si>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</si>
  <si>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</si>
  <si>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</si>
  <si>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</si>
  <si>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</si>
  <si>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</si>
  <si>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</si>
  <si>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</si>
  <si>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</si>
  <si>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</si>
  <si>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</si>
  <si>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</si>
  <si>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</si>
  <si>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</si>
  <si>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</si>
  <si>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</si>
  <si>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</si>
  <si>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</si>
  <si>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</si>
  <si>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</si>
  <si>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</si>
  <si>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</si>
  <si>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</si>
  <si>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</si>
  <si>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</si>
  <si>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</si>
  <si>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</si>
  <si>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</si>
  <si>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</si>
  <si>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</si>
  <si>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</si>
  <si>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</si>
  <si>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</si>
  <si>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</si>
  <si>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</si>
  <si>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</si>
  <si>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</si>
  <si>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</si>
  <si>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</si>
  <si>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</si>
  <si>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</si>
  <si>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</si>
  <si>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</si>
  <si>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</si>
  <si>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</si>
  <si>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</si>
  <si>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</si>
  <si>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</si>
  <si>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</si>
  <si>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</si>
  <si>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</si>
  <si>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</si>
  <si>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</si>
  <si>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</si>
  <si>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</si>
  <si>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</si>
  <si>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</si>
  <si>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</si>
  <si>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</si>
  <si>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</si>
  <si>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</si>
  <si>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</si>
  <si>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</si>
  <si>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</si>
  <si>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</si>
  <si>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</si>
  <si>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</si>
  <si>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</si>
  <si>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</si>
  <si>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</si>
  <si>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</si>
  <si>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</si>
  <si>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</si>
  <si>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</si>
  <si>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</si>
  <si>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</si>
  <si>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</si>
  <si>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</si>
  <si>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</si>
  <si>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</si>
  <si>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</si>
  <si>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</si>
  <si>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</si>
  <si>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</si>
  <si>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</si>
  <si>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</si>
  <si>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</si>
  <si>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</si>
  <si>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</si>
  <si>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</si>
  <si>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</si>
  <si>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</si>
  <si>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</si>
  <si>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</si>
  <si>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</si>
  <si>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</si>
  <si>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</si>
  <si>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</si>
  <si>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</si>
  <si>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</si>
  <si>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</si>
  <si>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</si>
  <si>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</si>
  <si>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</si>
  <si>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</si>
  <si>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</si>
  <si>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</si>
  <si>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</si>
  <si>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</si>
  <si>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</si>
  <si>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</si>
  <si>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</si>
  <si>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</si>
  <si>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</si>
  <si>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</si>
  <si>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</si>
  <si>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</si>
  <si>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</si>
  <si>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</si>
  <si>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</si>
  <si>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</si>
  <si>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</si>
  <si>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</si>
  <si>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</si>
  <si>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</si>
  <si>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</si>
  <si>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</si>
  <si>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</si>
  <si>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</si>
  <si>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</si>
  <si>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</si>
  <si>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</si>
  <si>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</si>
  <si>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</si>
  <si>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</si>
  <si>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</si>
  <si>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</si>
  <si>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</si>
  <si>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</si>
  <si>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</si>
  <si>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</si>
  <si>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</si>
  <si>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</si>
  <si>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</si>
  <si>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</si>
  <si>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</si>
  <si>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</si>
  <si>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</si>
  <si>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</si>
  <si>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</si>
  <si>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</si>
  <si>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</si>
  <si>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</si>
  <si>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</si>
  <si>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</si>
  <si>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</si>
  <si>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</si>
  <si>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</si>
  <si>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</si>
  <si>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</si>
  <si>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</si>
  <si>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</si>
  <si>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</si>
  <si>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</si>
  <si>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</si>
  <si>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</si>
  <si>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</si>
  <si>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</si>
  <si>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</si>
  <si>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Wharton Police Department</t>
  </si>
  <si>
    <t>2018-12</t>
  </si>
  <si>
    <t>2018-16</t>
  </si>
  <si>
    <t>Gregory Garcia</t>
  </si>
  <si>
    <t>White</t>
  </si>
  <si>
    <t>Hispanic or Latino</t>
  </si>
  <si>
    <t>2023-1</t>
  </si>
  <si>
    <t>Garcia</t>
  </si>
  <si>
    <t>2023-2</t>
  </si>
  <si>
    <t>2023-3</t>
  </si>
  <si>
    <t>2023-4</t>
  </si>
  <si>
    <t>2023-5</t>
  </si>
  <si>
    <t>2023-6</t>
  </si>
  <si>
    <t>2023-7</t>
  </si>
  <si>
    <t>2023-8</t>
  </si>
  <si>
    <t>2023-9</t>
  </si>
  <si>
    <t>2023-10</t>
  </si>
  <si>
    <t>2023-11</t>
  </si>
  <si>
    <t>2023-12</t>
  </si>
  <si>
    <t>2023-13</t>
  </si>
  <si>
    <t>2023-14</t>
  </si>
  <si>
    <t>2023-15</t>
  </si>
  <si>
    <t>Rand</t>
  </si>
  <si>
    <t>Norton</t>
  </si>
  <si>
    <t>Hamilton</t>
  </si>
  <si>
    <t>Be'</t>
  </si>
  <si>
    <t>Rossi</t>
  </si>
  <si>
    <t>Lupia</t>
  </si>
  <si>
    <t>Daugherty</t>
  </si>
  <si>
    <t>Smith</t>
  </si>
  <si>
    <t>Flora</t>
  </si>
  <si>
    <t>Ferinde</t>
  </si>
  <si>
    <t>Asian</t>
  </si>
  <si>
    <t>Not Hispanic or Latino</t>
  </si>
  <si>
    <t>Unknown</t>
  </si>
  <si>
    <t>Black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</si>
</sst>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8">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
      <patternFill patternType="solid">
        <fgColor theme="0"/>
        <bgColor indexed="64"/>
      </patternFill>
    </fill>
  </fills>
  <borders count="20">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6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xf>
    <xf numFmtId="0" fontId="1" fillId="0" borderId="7" xfId="0" applyFont="1" applyBorder="1" applyAlignment="1">
      <alignment horizontal="center" wrapText="1"/>
    </xf>
    <xf numFmtId="0" fontId="1" fillId="0" borderId="10" xfId="0" applyFont="1" applyBorder="1"/>
    <xf numFmtId="0" fontId="1" fillId="0" borderId="3" xfId="0" applyFont="1" applyBorder="1"/>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1" fillId="0" borderId="8"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0" xfId="0" applyFont="1" applyAlignment="1">
      <alignment horizontal="center"/>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1" fillId="0" borderId="2" xfId="0" applyFont="1" applyBorder="1" applyAlignment="1">
      <alignment horizontal="center" vertic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5" fillId="0" borderId="0" xfId="0" applyFont="1" applyAlignment="1">
      <alignment horizontal="right"/>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0" fillId="0" borderId="3" xfId="0" applyBorder="1" applyAlignment="1">
      <alignment horizontal="center"/>
    </xf>
    <xf numFmtId="0" fontId="6" fillId="0" borderId="0" xfId="0" applyFont="1" applyAlignment="1">
      <alignment horizontal="center" vertical="center"/>
    </xf>
    <xf numFmtId="0" fontId="1" fillId="0" borderId="0" xfId="0" applyFont="1" applyAlignment="1">
      <alignment horizontal="center" wrapText="1"/>
    </xf>
    <xf numFmtId="0" fontId="2"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vertical="center"/>
    </xf>
    <xf numFmtId="0" fontId="1" fillId="2" borderId="0" xfId="0" applyFont="1" applyFill="1" applyAlignment="1">
      <alignment horizontal="center"/>
    </xf>
    <xf numFmtId="0" fontId="1" fillId="0" borderId="0" xfId="0" applyFont="1" applyAlignment="1">
      <alignment horizontal="right"/>
    </xf>
    <xf numFmtId="0" fontId="1" fillId="0" borderId="2" xfId="0" applyFont="1" applyBorder="1" applyAlignment="1">
      <alignment horizont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Alignment="1">
      <alignment horizontal="center"/>
    </xf>
    <xf numFmtId="0" fontId="14" fillId="2" borderId="0" xfId="0" applyFont="1" applyFill="1" applyAlignment="1">
      <alignment horizontal="center"/>
    </xf>
    <xf numFmtId="0" fontId="11" fillId="0" borderId="0" xfId="0" applyFont="1" applyAlignment="1">
      <alignment horizontal="center" vertical="center" wrapText="1"/>
    </xf>
    <xf numFmtId="164" fontId="0" fillId="0" borderId="0" xfId="0" applyNumberFormat="1" applyAlignment="1">
      <alignment horizontal="center"/>
    </xf>
    <xf numFmtId="164" fontId="0" fillId="2" borderId="0" xfId="0" applyNumberFormat="1" applyFill="1" applyAlignment="1">
      <alignment horizontal="center"/>
    </xf>
    <xf numFmtId="164" fontId="1" fillId="2" borderId="6" xfId="0" applyNumberFormat="1" applyFont="1" applyFill="1" applyBorder="1" applyAlignment="1">
      <alignment horizontal="center"/>
    </xf>
    <xf numFmtId="164" fontId="0" fillId="0" borderId="10" xfId="0" applyNumberFormat="1" applyBorder="1" applyAlignment="1">
      <alignment horizontal="center"/>
    </xf>
    <xf numFmtId="164" fontId="0" fillId="0" borderId="3" xfId="0" applyNumberFormat="1" applyBorder="1" applyAlignment="1">
      <alignment horizontal="center"/>
    </xf>
    <xf numFmtId="164" fontId="0" fillId="2" borderId="1" xfId="0" applyNumberFormat="1" applyFill="1" applyBorder="1" applyAlignment="1">
      <alignment horizontal="center"/>
    </xf>
    <xf numFmtId="164" fontId="0" fillId="0" borderId="1" xfId="0" applyNumberFormat="1" applyBorder="1" applyAlignment="1">
      <alignment horizontal="center"/>
    </xf>
    <xf numFmtId="164" fontId="0" fillId="0" borderId="9" xfId="0" applyNumberFormat="1" applyBorder="1" applyAlignment="1">
      <alignment horizontal="center"/>
    </xf>
    <xf numFmtId="164" fontId="0" fillId="0" borderId="6" xfId="0" applyNumberFormat="1" applyBorder="1" applyAlignment="1">
      <alignment horizontal="center"/>
    </xf>
    <xf numFmtId="164" fontId="0" fillId="2" borderId="9" xfId="0" applyNumberFormat="1" applyFill="1" applyBorder="1" applyAlignment="1">
      <alignment horizontal="center"/>
    </xf>
    <xf numFmtId="164" fontId="0" fillId="2" borderId="6" xfId="0" applyNumberFormat="1" applyFill="1" applyBorder="1" applyAlignment="1">
      <alignment horizontal="center"/>
    </xf>
    <xf numFmtId="164" fontId="1" fillId="2" borderId="9" xfId="0" applyNumberFormat="1" applyFont="1" applyFill="1" applyBorder="1" applyAlignment="1">
      <alignment horizontal="center"/>
    </xf>
    <xf numFmtId="164" fontId="1" fillId="0" borderId="6" xfId="0" applyNumberFormat="1" applyFont="1" applyBorder="1" applyAlignment="1">
      <alignment horizontal="center"/>
    </xf>
    <xf numFmtId="164" fontId="0" fillId="0" borderId="8" xfId="0" applyNumberFormat="1" applyBorder="1" applyAlignment="1">
      <alignment horizontal="center"/>
    </xf>
    <xf numFmtId="164" fontId="0" fillId="2" borderId="2" xfId="0" applyNumberFormat="1" applyFill="1" applyBorder="1" applyAlignment="1">
      <alignment horizontal="center"/>
    </xf>
    <xf numFmtId="164" fontId="0" fillId="0" borderId="2" xfId="0" applyNumberFormat="1" applyBorder="1" applyAlignment="1">
      <alignment horizontal="center"/>
    </xf>
    <xf numFmtId="164" fontId="1" fillId="0" borderId="8" xfId="0" applyNumberFormat="1" applyFont="1" applyBorder="1" applyAlignment="1">
      <alignment horizontal="center"/>
    </xf>
    <xf numFmtId="164" fontId="1" fillId="0" borderId="9" xfId="0" applyNumberFormat="1" applyFont="1" applyBorder="1" applyAlignment="1">
      <alignment horizontal="center"/>
    </xf>
    <xf numFmtId="0" fontId="0" fillId="0" borderId="19" xfId="0" applyBorder="1"/>
    <xf numFmtId="0" fontId="0" fillId="3" borderId="19" xfId="0" applyFill="1" applyBorder="1"/>
    <xf numFmtId="14" fontId="0" fillId="0" borderId="19" xfId="0" applyNumberFormat="1" applyBorder="1"/>
    <xf numFmtId="14" fontId="0" fillId="3" borderId="19" xfId="0" applyNumberFormat="1" applyFill="1" applyBorder="1"/>
    <xf numFmtId="0" fontId="0" fillId="7" borderId="19" xfId="0"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2" fillId="0" borderId="3" xfId="0" applyFont="1" applyBorder="1" applyAlignment="1">
      <alignment horizontal="center"/>
    </xf>
    <xf numFmtId="0" fontId="2" fillId="0" borderId="7"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0" xfId="0" applyFont="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9"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left"/>
    </xf>
    <xf numFmtId="0" fontId="2" fillId="0" borderId="1" xfId="0" applyFont="1" applyBorder="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 fillId="0" borderId="3"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center" wrapText="1"/>
    </xf>
    <xf numFmtId="0" fontId="19" fillId="0" borderId="0" xfId="0" applyFont="1" applyAlignment="1">
      <alignment horizontal="center" vertical="center" wrapText="1"/>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6" fillId="0" borderId="3" xfId="0" applyFont="1" applyBorder="1" applyAlignment="1">
      <alignment horizontal="center" wrapText="1"/>
    </xf>
    <xf numFmtId="0" fontId="16" fillId="0" borderId="3"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1" xfId="0"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4" fillId="2" borderId="1"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6" fillId="0" borderId="0" xfId="0" applyFont="1" applyAlignment="1">
      <alignment horizontal="center" vertical="center"/>
    </xf>
    <xf numFmtId="0" fontId="6" fillId="0" borderId="14" xfId="0" applyFont="1" applyBorder="1" applyAlignment="1">
      <alignment horizontal="center" vertical="center"/>
    </xf>
    <xf numFmtId="0" fontId="19" fillId="0" borderId="14" xfId="0" applyFont="1" applyBorder="1" applyAlignment="1">
      <alignment horizontal="center" vertical="center"/>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A22" sqref="A22"/>
    </sheetView>
  </sheetViews>
  <sheetFormatPr defaultRowHeight="15" x14ac:dyDescent="0.25"/>
  <cols>
    <col min="2" max="2" width="12.42578125" bestFit="1" customWidth="1"/>
  </cols>
  <sheetData>
    <row r="1" spans="2:9" ht="14.65" customHeight="1" x14ac:dyDescent="0.55000000000000004">
      <c r="B1" s="164" t="s">
        <v>584</v>
      </c>
      <c r="C1" s="164"/>
      <c r="D1" s="164"/>
      <c r="E1" s="164"/>
      <c r="F1" s="164"/>
      <c r="G1" s="164"/>
      <c r="H1" s="164"/>
      <c r="I1" s="9"/>
    </row>
    <row r="2" spans="2:9" ht="14.65" customHeight="1" x14ac:dyDescent="0.55000000000000004">
      <c r="B2" s="164"/>
      <c r="C2" s="164"/>
      <c r="D2" s="164"/>
      <c r="E2" s="164"/>
      <c r="F2" s="164"/>
      <c r="G2" s="164"/>
      <c r="H2" s="164"/>
      <c r="I2" s="9"/>
    </row>
    <row r="3" spans="2:9" ht="14.65" customHeight="1" x14ac:dyDescent="0.55000000000000004">
      <c r="B3" s="164"/>
      <c r="C3" s="164"/>
      <c r="D3" s="164"/>
      <c r="E3" s="164"/>
      <c r="F3" s="164"/>
      <c r="G3" s="164"/>
      <c r="H3" s="164"/>
      <c r="I3" s="9"/>
    </row>
    <row r="4" spans="2:9" ht="14.65" customHeight="1" x14ac:dyDescent="0.55000000000000004">
      <c r="B4" s="164"/>
      <c r="C4" s="164"/>
      <c r="D4" s="164"/>
      <c r="E4" s="164"/>
      <c r="F4" s="164"/>
      <c r="G4" s="164"/>
      <c r="H4" s="164"/>
      <c r="I4" s="9"/>
    </row>
    <row r="5" spans="2:9" ht="30.6" customHeight="1" x14ac:dyDescent="0.25">
      <c r="C5" s="5"/>
      <c r="D5" s="5"/>
      <c r="E5" s="5"/>
      <c r="F5" s="5"/>
      <c r="G5" s="5"/>
      <c r="H5" s="5"/>
      <c r="I5" s="5"/>
    </row>
    <row r="6" spans="2:9" ht="48" customHeight="1" x14ac:dyDescent="0.25">
      <c r="B6" s="165" t="s">
        <v>754</v>
      </c>
      <c r="C6" s="165"/>
      <c r="D6" s="165"/>
      <c r="E6" s="165"/>
      <c r="F6" s="165"/>
      <c r="G6" s="165"/>
      <c r="H6" s="165"/>
    </row>
    <row r="7" spans="2:9" ht="10.15" customHeight="1" x14ac:dyDescent="0.25">
      <c r="C7" s="5"/>
      <c r="D7" s="5"/>
      <c r="E7" s="5"/>
      <c r="F7" s="5"/>
      <c r="G7" s="5"/>
      <c r="H7" s="5"/>
      <c r="I7" s="5"/>
    </row>
    <row r="8" spans="2:9" ht="31.15" customHeight="1" x14ac:dyDescent="0.25">
      <c r="B8" s="165" t="s">
        <v>750</v>
      </c>
      <c r="C8" s="165"/>
      <c r="D8" s="165"/>
      <c r="E8" s="165"/>
      <c r="F8" s="165"/>
      <c r="G8" s="165"/>
      <c r="H8" s="165"/>
    </row>
    <row r="13" spans="2:9" x14ac:dyDescent="0.25">
      <c r="B13" t="s">
        <v>35</v>
      </c>
      <c r="C13" s="166" t="s">
        <v>755</v>
      </c>
      <c r="D13" s="166"/>
      <c r="E13" s="166"/>
      <c r="F13" s="166"/>
    </row>
    <row r="14" spans="2:9" x14ac:dyDescent="0.25">
      <c r="C14" s="25" t="s">
        <v>590</v>
      </c>
      <c r="D14" s="25"/>
      <c r="E14" s="25"/>
      <c r="F14" s="25"/>
      <c r="G14" s="25"/>
    </row>
    <row r="15" spans="2:9" x14ac:dyDescent="0.25">
      <c r="C15" s="19"/>
      <c r="D15" s="19"/>
      <c r="E15" s="19"/>
      <c r="F15" s="19"/>
      <c r="G15" s="19"/>
    </row>
    <row r="16" spans="2:9" x14ac:dyDescent="0.25">
      <c r="B16" t="s">
        <v>34</v>
      </c>
      <c r="C16" s="166">
        <v>2023</v>
      </c>
      <c r="D16" s="166"/>
      <c r="E16" s="166"/>
      <c r="F16" s="16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5C9E-BCA3-4A41-AAD6-31D4C63DB529}">
  <sheetPr>
    <tabColor theme="0"/>
    <pageSetUpPr fitToPage="1"/>
  </sheetPr>
  <dimension ref="A2:AE307"/>
  <sheetViews>
    <sheetView tabSelected="1" view="pageBreakPreview" topLeftCell="A298" zoomScaleNormal="100" zoomScaleSheetLayoutView="100" zoomScalePageLayoutView="60" workbookViewId="0">
      <selection activeCell="E295" sqref="E295"/>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5" t="s">
        <v>638</v>
      </c>
      <c r="B3" s="262"/>
      <c r="C3" s="262"/>
      <c r="D3" s="262"/>
      <c r="E3" s="262"/>
      <c r="F3" s="262"/>
      <c r="G3" s="262"/>
      <c r="H3" s="262"/>
      <c r="I3" s="262"/>
      <c r="J3" s="262"/>
      <c r="K3" s="262"/>
      <c r="L3" s="262"/>
      <c r="M3" s="262"/>
      <c r="N3" s="262"/>
      <c r="O3" s="262"/>
      <c r="P3" s="262"/>
      <c r="Q3" s="262"/>
    </row>
    <row r="4" spans="1:17" ht="26.1" customHeight="1" x14ac:dyDescent="0.25">
      <c r="A4" s="262" t="s">
        <v>585</v>
      </c>
      <c r="B4" s="262"/>
      <c r="C4" s="262"/>
      <c r="D4" s="262"/>
      <c r="E4" s="262"/>
      <c r="F4" s="262"/>
      <c r="G4" s="262"/>
      <c r="H4" s="262"/>
      <c r="I4" s="262"/>
      <c r="J4" s="262"/>
      <c r="K4" s="262"/>
      <c r="L4" s="262"/>
      <c r="M4" s="262"/>
      <c r="N4" s="262"/>
      <c r="O4" s="262"/>
      <c r="P4" s="262"/>
      <c r="Q4" s="262"/>
    </row>
    <row r="5" spans="1:17" ht="17.649999999999999" customHeight="1" x14ac:dyDescent="0.25">
      <c r="A5" s="186" t="s">
        <v>632</v>
      </c>
      <c r="B5" s="186"/>
      <c r="C5" s="186"/>
      <c r="D5" s="186"/>
      <c r="E5" s="186"/>
      <c r="F5" s="186"/>
      <c r="G5" s="186"/>
      <c r="H5" s="186"/>
      <c r="I5" s="186"/>
      <c r="J5" s="186"/>
      <c r="K5" s="186"/>
      <c r="L5" s="186"/>
      <c r="M5" s="186"/>
      <c r="N5" s="186"/>
      <c r="O5" s="186"/>
      <c r="P5" s="186"/>
      <c r="Q5" s="186"/>
    </row>
    <row r="6" spans="1:17" ht="22.15" customHeight="1" x14ac:dyDescent="0.25">
      <c r="A6" s="186"/>
      <c r="B6" s="186"/>
      <c r="C6" s="186"/>
      <c r="D6" s="186"/>
      <c r="E6" s="186"/>
      <c r="F6" s="186"/>
      <c r="G6" s="186"/>
      <c r="H6" s="186"/>
      <c r="I6" s="186"/>
      <c r="J6" s="186"/>
      <c r="K6" s="186"/>
      <c r="L6" s="186"/>
      <c r="M6" s="186"/>
      <c r="N6" s="186"/>
      <c r="O6" s="186"/>
      <c r="P6" s="186"/>
      <c r="Q6" s="186"/>
    </row>
    <row r="7" spans="1:17" ht="15.75" thickBot="1" x14ac:dyDescent="0.3"/>
    <row r="8" spans="1:17" ht="36" x14ac:dyDescent="0.3">
      <c r="A8" s="121" t="s">
        <v>741</v>
      </c>
      <c r="B8" s="122">
        <v>2023</v>
      </c>
      <c r="C8" s="265" t="str">
        <f>$B$8&amp;" Internal Affairs Summary"</f>
        <v>2023 Internal Affairs Summary</v>
      </c>
      <c r="D8" s="265"/>
      <c r="E8" s="265"/>
      <c r="F8" s="265"/>
      <c r="G8" s="265"/>
      <c r="H8" s="265"/>
      <c r="I8" s="265"/>
      <c r="J8" s="265"/>
      <c r="K8" s="265"/>
      <c r="L8" s="265"/>
      <c r="M8" s="265"/>
      <c r="N8" s="265"/>
      <c r="O8" s="265"/>
    </row>
    <row r="9" spans="1:17" ht="33" customHeight="1" x14ac:dyDescent="0.3">
      <c r="A9" s="123" t="s">
        <v>619</v>
      </c>
      <c r="B9" s="124">
        <f>IF($B$8 = "Q1", DATE($M$49, 1, 1), IF($B$8 = "Q2", DATE($M$49, 4, 1), IF($B$8 = "Q3", DATE($M$49, 7, 1), IF($B$8 = "Q4", DATE($M$49, 10, 1), DATE($M$49, 1, 1)))))</f>
        <v>44927</v>
      </c>
      <c r="C9" s="266">
        <f>'Start Here'!$C$16</f>
        <v>2023</v>
      </c>
      <c r="D9" s="265"/>
      <c r="E9" s="265"/>
      <c r="F9" s="265"/>
      <c r="G9" s="265"/>
      <c r="H9" s="265"/>
      <c r="I9" s="265"/>
      <c r="J9" s="265"/>
      <c r="K9" s="265"/>
      <c r="L9" s="265"/>
      <c r="M9" s="265"/>
      <c r="N9" s="265"/>
      <c r="O9" s="265"/>
      <c r="P9" s="119"/>
      <c r="Q9" s="119"/>
    </row>
    <row r="10" spans="1:17" ht="21" customHeight="1" thickBot="1" x14ac:dyDescent="0.35">
      <c r="A10" s="125" t="s">
        <v>620</v>
      </c>
      <c r="B10" s="126">
        <f>IF($B$8 = "Q1", DATE($M$49, 3, 31), IF($B$8 = "Q2", DATE($M$49, 6, 30), IF($B$8 = "Q3", DATE($M$49, 9, 30), IF($B$8 = "Q4", DATE($M$49, 12, 31), DATE($M$49, 12, 31)))))</f>
        <v>45291</v>
      </c>
      <c r="C10" s="267" t="str">
        <f>"Internal Affairs: "&amp;$B$8&amp;" Snapshot"</f>
        <v>Internal Affairs: 2023 Snapshot</v>
      </c>
      <c r="D10" s="182"/>
      <c r="E10" s="182"/>
      <c r="F10" s="182"/>
      <c r="G10" s="182"/>
      <c r="H10" s="182"/>
      <c r="I10" s="182"/>
      <c r="J10" s="182"/>
      <c r="K10" s="182"/>
      <c r="L10" s="182"/>
      <c r="M10" s="182"/>
      <c r="N10" s="182"/>
      <c r="O10" s="182"/>
      <c r="P10" s="119"/>
      <c r="Q10" s="119"/>
    </row>
    <row r="12" spans="1:17" ht="18.75" x14ac:dyDescent="0.3">
      <c r="A12" s="246" t="str">
        <f>"This sheet contains some top-line facts and figures for Internal Affairs cases closed in "&amp;$B$8&amp;"."</f>
        <v>This sheet contains some top-line facts and figures for Internal Affairs cases closed in 2023.</v>
      </c>
      <c r="B12" s="262"/>
      <c r="C12" s="262"/>
      <c r="D12" s="262"/>
      <c r="E12" s="262"/>
      <c r="F12" s="262"/>
      <c r="G12" s="262"/>
      <c r="H12" s="262"/>
      <c r="I12" s="262"/>
      <c r="J12" s="262"/>
      <c r="K12" s="262"/>
      <c r="L12" s="262"/>
      <c r="M12" s="262"/>
      <c r="N12" s="262"/>
      <c r="O12" s="262"/>
      <c r="P12" s="262"/>
      <c r="Q12" s="262"/>
    </row>
    <row r="13" spans="1:17" ht="18.75" x14ac:dyDescent="0.3">
      <c r="A13" s="246" t="s">
        <v>705</v>
      </c>
      <c r="B13" s="246"/>
      <c r="C13" s="246"/>
      <c r="D13" s="246"/>
      <c r="E13" s="246"/>
      <c r="F13" s="246"/>
      <c r="G13" s="246"/>
      <c r="H13" s="246"/>
      <c r="I13" s="246"/>
      <c r="J13" s="246"/>
      <c r="K13" s="246"/>
      <c r="L13" s="246"/>
      <c r="M13" s="246"/>
      <c r="N13" s="246"/>
      <c r="O13" s="246"/>
      <c r="P13" s="246"/>
      <c r="Q13" s="246"/>
    </row>
    <row r="15" spans="1:17" ht="40.5" customHeight="1" x14ac:dyDescent="0.25">
      <c r="A15" s="94"/>
      <c r="B15" s="94"/>
      <c r="C15" s="94"/>
      <c r="D15" s="94"/>
      <c r="E15" s="95"/>
      <c r="F15" s="263" t="s">
        <v>706</v>
      </c>
      <c r="G15" s="264"/>
      <c r="H15" s="233" t="s">
        <v>707</v>
      </c>
      <c r="I15" s="233"/>
      <c r="J15" s="233" t="s">
        <v>708</v>
      </c>
      <c r="K15" s="233"/>
      <c r="L15" s="233" t="s">
        <v>703</v>
      </c>
      <c r="M15" s="233"/>
      <c r="N15" s="94"/>
      <c r="O15" s="94"/>
      <c r="P15" s="94"/>
      <c r="Q15" s="94"/>
    </row>
    <row r="16" spans="1:17" ht="18.75" x14ac:dyDescent="0.3">
      <c r="C16" s="73"/>
      <c r="D16" s="73"/>
      <c r="E16" s="90" t="s">
        <v>658</v>
      </c>
      <c r="F16" s="251">
        <f t="shared" ref="F16:F24" si="0">COUNTIFS(PendingStatus,"Closed",PendingMSO,$E16,PendingCloseDate,"&gt;="&amp;$B$9,PendingCloseDate,"&lt;="&amp;$B$10) + COUNTIFS(OpenedStatus,"Closed",OpenedMSO,$E16,OpenedCloseDate,"&gt;="&amp;$B$9,OpenedCloseDate,"&lt;="&amp;$B$10)</f>
        <v>0</v>
      </c>
      <c r="G16" s="254"/>
      <c r="H16" s="252">
        <f t="shared" ref="H16:H24" si="1">COUNTIFS(PendingMSO,$E16,PendingStatus,"Closed",PendingMSOMatch,"Yes",PendingCloseDate,"&gt;="&amp;$B$9,PendingCloseDate,"&lt;="&amp;$B$10) + COUNTIFS(OpenedMSO,$E16,OpenedStatus,"Closed",OpenedMSOMatch,"Yes",OpenedCloseDate,"&gt;="&amp;$B$9,OpenedCloseDate,"&lt;="&amp;$B$10)</f>
        <v>0</v>
      </c>
      <c r="I16" s="252"/>
      <c r="J16" s="252">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2"/>
      <c r="L16" s="252">
        <f t="shared" ref="L16:L24" si="3">COUNTIFS(PendingMSO,$E16,PendingInternalDisposition, "&lt;&gt;Sustained", PendingCloseDate,"&gt;="&amp;$B$9,PendingCloseDate,"&lt;="&amp;$B$10) + COUNTIFS(OpenedMSO,$E16,OpenedInternalDisposition, "&lt;&gt;Sustained", OpenedCloseDate,"&gt;="&amp;$B$9,OpenedCloseDate,"&lt;="&amp;$B$10)</f>
        <v>0</v>
      </c>
      <c r="M16" s="252"/>
    </row>
    <row r="17" spans="3:16" ht="18.75" x14ac:dyDescent="0.3">
      <c r="C17" s="67"/>
      <c r="D17" s="67"/>
      <c r="E17" s="91" t="s">
        <v>651</v>
      </c>
      <c r="F17" s="261">
        <f t="shared" si="0"/>
        <v>0</v>
      </c>
      <c r="G17" s="256"/>
      <c r="H17" s="255">
        <f t="shared" si="1"/>
        <v>0</v>
      </c>
      <c r="I17" s="255"/>
      <c r="J17" s="255">
        <f t="shared" si="2"/>
        <v>0</v>
      </c>
      <c r="K17" s="255"/>
      <c r="L17" s="255">
        <f t="shared" si="3"/>
        <v>0</v>
      </c>
      <c r="M17" s="255"/>
    </row>
    <row r="18" spans="3:16" ht="18.75" x14ac:dyDescent="0.3">
      <c r="E18" s="92" t="s">
        <v>652</v>
      </c>
      <c r="F18" s="257">
        <f t="shared" si="0"/>
        <v>0</v>
      </c>
      <c r="G18" s="247"/>
      <c r="H18" s="246">
        <f t="shared" si="1"/>
        <v>0</v>
      </c>
      <c r="I18" s="246"/>
      <c r="J18" s="246">
        <f t="shared" si="2"/>
        <v>0</v>
      </c>
      <c r="K18" s="246"/>
      <c r="L18" s="246">
        <f t="shared" si="3"/>
        <v>0</v>
      </c>
      <c r="M18" s="246"/>
    </row>
    <row r="19" spans="3:16" ht="18.75" x14ac:dyDescent="0.3">
      <c r="C19" s="67"/>
      <c r="D19" s="67"/>
      <c r="E19" s="91" t="s">
        <v>653</v>
      </c>
      <c r="F19" s="261">
        <f t="shared" si="0"/>
        <v>0</v>
      </c>
      <c r="G19" s="256"/>
      <c r="H19" s="255">
        <f t="shared" si="1"/>
        <v>0</v>
      </c>
      <c r="I19" s="255"/>
      <c r="J19" s="255">
        <f t="shared" si="2"/>
        <v>0</v>
      </c>
      <c r="K19" s="255"/>
      <c r="L19" s="255">
        <f t="shared" si="3"/>
        <v>0</v>
      </c>
      <c r="M19" s="255"/>
    </row>
    <row r="20" spans="3:16" ht="18.75" x14ac:dyDescent="0.3">
      <c r="E20" s="92" t="s">
        <v>654</v>
      </c>
      <c r="F20" s="257">
        <f t="shared" si="0"/>
        <v>0</v>
      </c>
      <c r="G20" s="247"/>
      <c r="H20" s="246">
        <f t="shared" si="1"/>
        <v>0</v>
      </c>
      <c r="I20" s="246"/>
      <c r="J20" s="246">
        <f t="shared" si="2"/>
        <v>0</v>
      </c>
      <c r="K20" s="246"/>
      <c r="L20" s="246">
        <f t="shared" si="3"/>
        <v>0</v>
      </c>
      <c r="M20" s="246"/>
    </row>
    <row r="21" spans="3:16" ht="18.75" x14ac:dyDescent="0.3">
      <c r="C21" s="67"/>
      <c r="D21" s="67"/>
      <c r="E21" s="91" t="s">
        <v>655</v>
      </c>
      <c r="F21" s="261">
        <f t="shared" si="0"/>
        <v>0</v>
      </c>
      <c r="G21" s="256"/>
      <c r="H21" s="255">
        <f t="shared" si="1"/>
        <v>0</v>
      </c>
      <c r="I21" s="255"/>
      <c r="J21" s="255">
        <f t="shared" si="2"/>
        <v>0</v>
      </c>
      <c r="K21" s="255"/>
      <c r="L21" s="255">
        <f t="shared" si="3"/>
        <v>0</v>
      </c>
      <c r="M21" s="255"/>
    </row>
    <row r="22" spans="3:16" ht="18.75" x14ac:dyDescent="0.3">
      <c r="E22" s="92" t="s">
        <v>656</v>
      </c>
      <c r="F22" s="257">
        <f t="shared" si="0"/>
        <v>0</v>
      </c>
      <c r="G22" s="247"/>
      <c r="H22" s="246">
        <f t="shared" si="1"/>
        <v>0</v>
      </c>
      <c r="I22" s="246"/>
      <c r="J22" s="246">
        <f t="shared" si="2"/>
        <v>0</v>
      </c>
      <c r="K22" s="246"/>
      <c r="L22" s="246">
        <f t="shared" si="3"/>
        <v>0</v>
      </c>
      <c r="M22" s="246"/>
    </row>
    <row r="23" spans="3:16" ht="18.75" x14ac:dyDescent="0.3">
      <c r="C23" s="67"/>
      <c r="D23" s="67"/>
      <c r="E23" s="91" t="s">
        <v>5</v>
      </c>
      <c r="F23" s="261">
        <f t="shared" si="0"/>
        <v>0</v>
      </c>
      <c r="G23" s="256"/>
      <c r="H23" s="255">
        <f t="shared" si="1"/>
        <v>0</v>
      </c>
      <c r="I23" s="255"/>
      <c r="J23" s="255">
        <f t="shared" si="2"/>
        <v>0</v>
      </c>
      <c r="K23" s="255"/>
      <c r="L23" s="255">
        <f t="shared" si="3"/>
        <v>0</v>
      </c>
      <c r="M23" s="255"/>
    </row>
    <row r="24" spans="3:16" ht="18.75" x14ac:dyDescent="0.3">
      <c r="E24" s="92" t="s">
        <v>657</v>
      </c>
      <c r="F24" s="257">
        <f t="shared" si="0"/>
        <v>0</v>
      </c>
      <c r="G24" s="247"/>
      <c r="H24" s="246">
        <f t="shared" si="1"/>
        <v>0</v>
      </c>
      <c r="I24" s="246"/>
      <c r="J24" s="246">
        <f t="shared" si="2"/>
        <v>0</v>
      </c>
      <c r="K24" s="246"/>
      <c r="L24" s="246">
        <f t="shared" si="3"/>
        <v>0</v>
      </c>
      <c r="M24" s="246"/>
    </row>
    <row r="25" spans="3:16" ht="18.75" x14ac:dyDescent="0.3">
      <c r="C25" s="78"/>
      <c r="D25" s="78"/>
      <c r="E25" s="93" t="s">
        <v>615</v>
      </c>
      <c r="F25" s="258">
        <f>SUM(F16:F24)</f>
        <v>0</v>
      </c>
      <c r="G25" s="259"/>
      <c r="H25" s="260">
        <f t="shared" ref="H25" si="4">SUM(H16:H24)</f>
        <v>0</v>
      </c>
      <c r="I25" s="260"/>
      <c r="J25" s="260">
        <f>SUM(J16:J24)</f>
        <v>0</v>
      </c>
      <c r="K25" s="260"/>
      <c r="L25" s="260">
        <f>SUM(L16:L24)</f>
        <v>0</v>
      </c>
      <c r="M25" s="260"/>
    </row>
    <row r="28" spans="3:16" ht="21" x14ac:dyDescent="0.35">
      <c r="F28" s="248" t="str">
        <f>"Distribution of sources for complaints closed in "&amp;$B$8</f>
        <v>Distribution of sources for complaints closed in 2023</v>
      </c>
      <c r="G28" s="248"/>
      <c r="H28" s="248"/>
      <c r="I28" s="248"/>
      <c r="J28" s="248"/>
      <c r="K28" s="248"/>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9" t="s">
        <v>26</v>
      </c>
      <c r="G30" s="249"/>
      <c r="H30" s="250" t="s">
        <v>28</v>
      </c>
      <c r="I30" s="250"/>
      <c r="J30" s="249" t="s">
        <v>27</v>
      </c>
      <c r="K30" s="249"/>
      <c r="L30" s="99"/>
      <c r="M30" s="99"/>
      <c r="N30" s="99"/>
      <c r="O30" s="99"/>
      <c r="P30" s="99"/>
    </row>
    <row r="31" spans="3:16" ht="18.75" x14ac:dyDescent="0.3">
      <c r="E31" s="134" t="s">
        <v>709</v>
      </c>
      <c r="F31" s="251">
        <f>COUNTIFS(PendingComplaintSource, F30, PendingCloseDate,"&gt;="&amp;$B$9,PendingCloseDate,"&lt;="&amp;$B$10) + COUNTIFS(OpenedComplaintSource, F30, OpenedCloseDate,"&gt;="&amp;$B$9,OpenedCloseDate,"&lt;="&amp;$B$10)</f>
        <v>0</v>
      </c>
      <c r="G31" s="252"/>
      <c r="H31" s="253">
        <f>COUNTIFS(PendingComplaintSource, H30, PendingCloseDate,"&gt;="&amp;$B$9,PendingCloseDate,"&lt;="&amp;$B$10) + COUNTIFS(OpenedComplaintSource, H30, OpenedCloseDate,"&gt;="&amp;$B$9,OpenedCloseDate,"&lt;="&amp;$B$10)</f>
        <v>0</v>
      </c>
      <c r="I31" s="253"/>
      <c r="J31" s="252">
        <f>COUNTIFS(PendingComplaintSource, J30, PendingCloseDate,"&gt;="&amp;$B$9,PendingCloseDate,"&lt;="&amp;$B$10) + COUNTIFS(OpenedComplaintSource, J30, OpenedCloseDate,"&gt;="&amp;$B$9,OpenedCloseDate,"&lt;="&amp;$B$10)</f>
        <v>0</v>
      </c>
      <c r="K31" s="254"/>
      <c r="L31" s="99"/>
      <c r="M31" s="99"/>
      <c r="N31" s="99"/>
      <c r="O31" s="99"/>
      <c r="P31" s="99"/>
    </row>
    <row r="32" spans="3:16" ht="18.75" x14ac:dyDescent="0.3">
      <c r="E32" s="120" t="s">
        <v>710</v>
      </c>
      <c r="F32" s="223" t="str">
        <f t="shared" ref="F32" si="5">IF(SUM($F31:$J31)=0, "", F31/SUM($F31:$J31))</f>
        <v/>
      </c>
      <c r="G32" s="224"/>
      <c r="H32" s="225" t="str">
        <f t="shared" ref="H32" si="6">IF(SUM($F31:$J31)=0, "", H31/SUM($F31:$J31))</f>
        <v/>
      </c>
      <c r="I32" s="225"/>
      <c r="J32" s="224" t="str">
        <f>IF(SUM($F31:$J31)=0, "", J31/SUM($F31:$J31))</f>
        <v/>
      </c>
      <c r="K32" s="226"/>
    </row>
    <row r="33" spans="1:17" ht="15.75" thickBot="1" x14ac:dyDescent="0.3"/>
    <row r="34" spans="1:17" ht="36.75" customHeight="1" x14ac:dyDescent="0.3">
      <c r="C34" s="227" t="str">
        <f>"Frequency of discipline by type for complaints closed in "&amp;$B$8</f>
        <v>Frequency of discipline by type for complaints closed in 2023</v>
      </c>
      <c r="D34" s="227"/>
      <c r="E34" s="227"/>
      <c r="F34" s="227"/>
      <c r="G34" s="137"/>
      <c r="I34" s="228" t="str">
        <f>$B$8&amp;" Summary"</f>
        <v>2023 Summary</v>
      </c>
      <c r="J34" s="228"/>
      <c r="K34" s="228"/>
      <c r="M34" s="229" t="s">
        <v>625</v>
      </c>
      <c r="N34" s="230"/>
      <c r="O34" s="230"/>
      <c r="P34" s="231"/>
    </row>
    <row r="35" spans="1:17" ht="18.75" customHeight="1" x14ac:dyDescent="0.3">
      <c r="B35" s="73"/>
      <c r="C35" s="73"/>
      <c r="D35" s="73"/>
      <c r="E35" s="136"/>
      <c r="F35" s="90" t="s">
        <v>662</v>
      </c>
      <c r="G35" s="136">
        <v>2</v>
      </c>
      <c r="I35" s="238" t="s">
        <v>621</v>
      </c>
      <c r="J35" s="239"/>
      <c r="K35" s="242">
        <f>SUM($B$67:$D$67)</f>
        <v>2</v>
      </c>
      <c r="M35" s="232"/>
      <c r="N35" s="233"/>
      <c r="O35" s="233"/>
      <c r="P35" s="234"/>
    </row>
    <row r="36" spans="1:17" ht="18.75" x14ac:dyDescent="0.3">
      <c r="B36" s="67"/>
      <c r="C36" s="67"/>
      <c r="D36" s="67"/>
      <c r="E36" s="139"/>
      <c r="F36" s="91" t="s">
        <v>663</v>
      </c>
      <c r="G36" s="139">
        <f t="shared" ref="G35:G44" si="7">COUNTIFS(PendingDiscipline,$F36,PendingCloseDate,"&gt;="&amp;$B$9,PendingCloseDate,"&lt;="&amp;$B$10) + COUNTIFS(OpenedDiscipline,$F36,OpenedCloseDate,"&gt;="&amp;$B$9,OpenedCloseDate,"&lt;="&amp;$B$10)</f>
        <v>0</v>
      </c>
      <c r="I36" s="240"/>
      <c r="J36" s="241"/>
      <c r="K36" s="243"/>
      <c r="M36" s="232"/>
      <c r="N36" s="233"/>
      <c r="O36" s="233"/>
      <c r="P36" s="234"/>
    </row>
    <row r="37" spans="1:17" ht="18.75" customHeight="1" x14ac:dyDescent="0.3">
      <c r="E37" s="138"/>
      <c r="F37" s="92" t="s">
        <v>664</v>
      </c>
      <c r="G37" s="138">
        <f t="shared" si="7"/>
        <v>0</v>
      </c>
      <c r="I37" s="244" t="s">
        <v>643</v>
      </c>
      <c r="J37" s="245"/>
      <c r="K37" s="106">
        <v>15</v>
      </c>
      <c r="M37" s="232"/>
      <c r="N37" s="233"/>
      <c r="O37" s="233"/>
      <c r="P37" s="234"/>
    </row>
    <row r="38" spans="1:17" ht="18.75" x14ac:dyDescent="0.3">
      <c r="B38" s="67"/>
      <c r="C38" s="67"/>
      <c r="D38" s="67"/>
      <c r="E38" s="139"/>
      <c r="F38" s="91" t="s">
        <v>665</v>
      </c>
      <c r="G38" s="139">
        <f t="shared" si="7"/>
        <v>0</v>
      </c>
      <c r="I38" s="246" t="s">
        <v>622</v>
      </c>
      <c r="J38" s="247"/>
      <c r="K38" s="107">
        <v>14</v>
      </c>
      <c r="M38" s="232"/>
      <c r="N38" s="233"/>
      <c r="O38" s="233"/>
      <c r="P38" s="234"/>
    </row>
    <row r="39" spans="1:17" ht="18.75" x14ac:dyDescent="0.3">
      <c r="E39" s="138"/>
      <c r="F39" s="92" t="s">
        <v>666</v>
      </c>
      <c r="G39" s="138">
        <f t="shared" si="7"/>
        <v>0</v>
      </c>
      <c r="I39" s="255" t="s">
        <v>623</v>
      </c>
      <c r="J39" s="256"/>
      <c r="K39" s="106">
        <v>6</v>
      </c>
      <c r="M39" s="232"/>
      <c r="N39" s="233"/>
      <c r="O39" s="233"/>
      <c r="P39" s="234"/>
    </row>
    <row r="40" spans="1:17" ht="18.75" x14ac:dyDescent="0.3">
      <c r="B40" s="67"/>
      <c r="C40" s="67"/>
      <c r="D40" s="67"/>
      <c r="E40" s="139"/>
      <c r="F40" s="91" t="s">
        <v>667</v>
      </c>
      <c r="G40" s="139">
        <f t="shared" si="7"/>
        <v>0</v>
      </c>
      <c r="I40" s="246" t="s">
        <v>618</v>
      </c>
      <c r="J40" s="247"/>
      <c r="K40" s="107">
        <v>8</v>
      </c>
      <c r="M40" s="232"/>
      <c r="N40" s="233"/>
      <c r="O40" s="233"/>
      <c r="P40" s="234"/>
    </row>
    <row r="41" spans="1:17" ht="18.75" x14ac:dyDescent="0.3">
      <c r="E41" s="138"/>
      <c r="F41" s="92" t="s">
        <v>692</v>
      </c>
      <c r="G41" s="138">
        <f t="shared" si="7"/>
        <v>0</v>
      </c>
      <c r="I41" s="255" t="s">
        <v>644</v>
      </c>
      <c r="J41" s="256"/>
      <c r="K41" s="106">
        <f>COUNTIFS(PendingStatus, "Closed", PendingCloseDate, "&gt;="&amp;$B$9, PendingCloseDate, "&lt;="&amp;$B$10, PendingLengthOfCase, "&gt;180") + COUNTIFS(OpenedStatus, "Closed", OpenedCloseDate, "&gt;="&amp;$B$9, OpenedCloseDate, "&lt;="&amp;$B$10, OpenedLengthOfCase, "&gt;180")</f>
        <v>0</v>
      </c>
      <c r="M41" s="232"/>
      <c r="N41" s="233"/>
      <c r="O41" s="233"/>
      <c r="P41" s="234"/>
    </row>
    <row r="42" spans="1:17" ht="18.75" customHeight="1" x14ac:dyDescent="0.3">
      <c r="B42" s="67"/>
      <c r="C42" s="67"/>
      <c r="D42" s="67"/>
      <c r="E42" s="139"/>
      <c r="F42" s="91" t="s">
        <v>668</v>
      </c>
      <c r="G42" s="139">
        <v>3</v>
      </c>
      <c r="I42" s="240" t="str">
        <f>"Total Pending  at end of "&amp;$B$8</f>
        <v>Total Pending  at end of 2023</v>
      </c>
      <c r="J42" s="241"/>
      <c r="K42" s="243">
        <f>(SUM(K35:K37))-K38</f>
        <v>3</v>
      </c>
      <c r="M42" s="232"/>
      <c r="N42" s="233"/>
      <c r="O42" s="233"/>
      <c r="P42" s="234"/>
    </row>
    <row r="43" spans="1:17" ht="18.75" x14ac:dyDescent="0.3">
      <c r="E43" s="138"/>
      <c r="F43" s="92" t="s">
        <v>669</v>
      </c>
      <c r="G43" s="138">
        <v>1</v>
      </c>
      <c r="I43" s="240"/>
      <c r="J43" s="241"/>
      <c r="K43" s="243"/>
      <c r="M43" s="232"/>
      <c r="N43" s="233"/>
      <c r="O43" s="233"/>
      <c r="P43" s="234"/>
    </row>
    <row r="44" spans="1:17" ht="19.5" thickBot="1" x14ac:dyDescent="0.35">
      <c r="B44" s="67"/>
      <c r="C44" s="67"/>
      <c r="D44" s="67"/>
      <c r="E44" s="139"/>
      <c r="F44" s="91" t="s">
        <v>670</v>
      </c>
      <c r="G44" s="139">
        <f t="shared" si="7"/>
        <v>0</v>
      </c>
      <c r="I44" s="73"/>
      <c r="J44" s="73"/>
      <c r="K44" s="73"/>
      <c r="M44" s="235"/>
      <c r="N44" s="236"/>
      <c r="O44" s="236"/>
      <c r="P44" s="237"/>
    </row>
    <row r="45" spans="1:17" ht="18.75" x14ac:dyDescent="0.3">
      <c r="B45" s="73"/>
      <c r="C45" s="73"/>
      <c r="D45" s="73"/>
      <c r="E45" s="73"/>
      <c r="F45" s="96" t="s">
        <v>615</v>
      </c>
      <c r="G45" s="97">
        <f>SUM(G35:G44)</f>
        <v>6</v>
      </c>
    </row>
    <row r="48" spans="1:17" x14ac:dyDescent="0.25">
      <c r="A48" s="1"/>
      <c r="K48" s="172" t="s">
        <v>33</v>
      </c>
      <c r="L48" s="172"/>
      <c r="M48" s="184" t="str">
        <f>'Start Here'!C$13</f>
        <v>Wharton Police Department</v>
      </c>
      <c r="N48" s="184"/>
      <c r="O48" s="184"/>
      <c r="P48" s="184"/>
      <c r="Q48" s="184"/>
    </row>
    <row r="49" spans="1:31" x14ac:dyDescent="0.25">
      <c r="A49" s="1"/>
      <c r="K49" s="172" t="s">
        <v>34</v>
      </c>
      <c r="L49" s="172"/>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7" t="str">
        <f>$B$8&amp;": Cases Opened and Closed, All Allegations"</f>
        <v>2023: Cases Opened and Closed, All Allegations</v>
      </c>
      <c r="B52" s="207"/>
      <c r="C52" s="207"/>
      <c r="D52" s="207"/>
      <c r="E52" s="207"/>
      <c r="F52" s="207"/>
      <c r="G52" s="207"/>
      <c r="H52" s="207"/>
      <c r="I52" s="207"/>
      <c r="J52" s="207"/>
      <c r="K52" s="207"/>
      <c r="L52" s="207"/>
      <c r="M52" s="207"/>
      <c r="N52" s="207"/>
      <c r="O52" s="207"/>
      <c r="P52" s="207"/>
      <c r="Q52" s="207"/>
    </row>
    <row r="53" spans="1:31" ht="14.65" customHeight="1" x14ac:dyDescent="0.25">
      <c r="A53" s="207"/>
      <c r="B53" s="207"/>
      <c r="C53" s="207"/>
      <c r="D53" s="207"/>
      <c r="E53" s="207"/>
      <c r="F53" s="207"/>
      <c r="G53" s="207"/>
      <c r="H53" s="207"/>
      <c r="I53" s="207"/>
      <c r="J53" s="207"/>
      <c r="K53" s="207"/>
      <c r="L53" s="207"/>
      <c r="M53" s="207"/>
      <c r="N53" s="207"/>
      <c r="O53" s="207"/>
      <c r="P53" s="207"/>
      <c r="Q53" s="207"/>
    </row>
    <row r="54" spans="1:31" ht="21" x14ac:dyDescent="0.25">
      <c r="A54" s="183" t="s">
        <v>713</v>
      </c>
      <c r="B54" s="183"/>
      <c r="C54" s="183"/>
      <c r="D54" s="183"/>
      <c r="E54" s="183"/>
      <c r="F54" s="183"/>
      <c r="G54" s="183"/>
      <c r="H54" s="183"/>
      <c r="I54" s="183"/>
      <c r="J54" s="183"/>
      <c r="K54" s="45"/>
      <c r="L54" s="45"/>
      <c r="M54" s="45"/>
      <c r="N54" s="45"/>
      <c r="O54" s="45"/>
      <c r="P54" s="45"/>
      <c r="Q54" s="45"/>
    </row>
    <row r="55" spans="1:31" ht="15.75" thickBot="1" x14ac:dyDescent="0.3">
      <c r="B55" s="175" t="s">
        <v>25</v>
      </c>
      <c r="C55" s="175"/>
      <c r="D55" s="175"/>
      <c r="E55" s="175"/>
      <c r="F55" s="175"/>
      <c r="G55" s="175"/>
      <c r="H55" s="175"/>
      <c r="I55" s="175"/>
      <c r="J55" s="175"/>
      <c r="K55" s="27"/>
      <c r="L55" s="27"/>
      <c r="M55" s="27"/>
      <c r="N55" s="27"/>
      <c r="O55" s="27"/>
    </row>
    <row r="56" spans="1:31" ht="26.25" customHeight="1" x14ac:dyDescent="0.25">
      <c r="B56" s="203" t="s">
        <v>32</v>
      </c>
      <c r="C56" s="203"/>
      <c r="D56" s="203"/>
      <c r="E56" s="205" t="s">
        <v>624</v>
      </c>
      <c r="F56" s="203"/>
      <c r="G56" s="203"/>
      <c r="H56" s="206" t="s">
        <v>646</v>
      </c>
      <c r="I56" s="186"/>
      <c r="J56" s="186"/>
      <c r="K56" s="27"/>
      <c r="L56" s="27"/>
      <c r="N56" s="188" t="s">
        <v>715</v>
      </c>
      <c r="O56" s="189"/>
      <c r="P56" s="190"/>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91"/>
      <c r="O57" s="192"/>
      <c r="P57" s="193"/>
      <c r="AE57" s="5"/>
    </row>
    <row r="58" spans="1:31" x14ac:dyDescent="0.25">
      <c r="A58" s="88" t="s">
        <v>658</v>
      </c>
      <c r="B58" s="42">
        <v>2</v>
      </c>
      <c r="C58" s="29">
        <f t="shared" ref="B58:D66" si="8">COUNTIFS(PendingMSO, $A58, PendingComplaintSource, C$57, PendingStatus, "Pending") + COUNTIFS(PendingMSO, $A58, PendingComplaintSource, C$57, PendingStatus, "Closed", PendingCloseDate, "&gt;"&amp;$B$9 - 1) + COUNTIFS(OpenedMSO, $A58, OpenedComplaintSource, C$57, OpenedStatus, "Pending", OpenedComplaintReceived, "&lt;"&amp;$B$9) + COUNTIFS(OpenedMSO, $A58, OpenedComplaintSource, C$57, OpenedStatus, "Closed", OpenedComplaintReceived, "&lt;"&amp;$B$9, OpenedCloseDate, "&gt;="&amp;$B$9)</f>
        <v>0</v>
      </c>
      <c r="D58" s="29">
        <f t="shared" si="8"/>
        <v>0</v>
      </c>
      <c r="E58" s="35">
        <f t="shared" ref="E58:G66" si="9">COUNTIFS(OpenedMSO, $A58, OpenedComplaintSource, E$57, OpenedComplaintReceived, "&gt;="&amp;$B$9, OpenedComplaintReceived,"&lt;="&amp;$B$10)</f>
        <v>1</v>
      </c>
      <c r="F58" s="29">
        <f t="shared" si="9"/>
        <v>0</v>
      </c>
      <c r="G58" s="29">
        <f t="shared" si="9"/>
        <v>0</v>
      </c>
      <c r="H58" s="147">
        <f t="shared" ref="H58:J66" si="10">IF(E58=0,"",(SUMIFS(OpenedNInitial,OpenedMSO,$A58,OpenedComplaintSource,H$57,OpenedComplaintReceived,"&gt;="&amp;$B$9,OpenedComplaintReceived,"&lt;="&amp;$B$10)/E58))</f>
        <v>1</v>
      </c>
      <c r="I58" s="141" t="str">
        <f t="shared" si="10"/>
        <v/>
      </c>
      <c r="J58" s="141" t="str">
        <f t="shared" si="10"/>
        <v/>
      </c>
      <c r="K58" s="29"/>
      <c r="L58" s="29"/>
      <c r="N58" s="191"/>
      <c r="O58" s="192"/>
      <c r="P58" s="193"/>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91"/>
      <c r="O59" s="192"/>
      <c r="P59" s="193"/>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91"/>
      <c r="O60" s="192"/>
      <c r="P60" s="193"/>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91"/>
      <c r="O61" s="192"/>
      <c r="P61" s="193"/>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91"/>
      <c r="O62" s="192"/>
      <c r="P62" s="193"/>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91"/>
      <c r="O63" s="192"/>
      <c r="P63" s="193"/>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91"/>
      <c r="O64" s="192"/>
      <c r="P64" s="193"/>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91"/>
      <c r="O65" s="192"/>
      <c r="P65" s="193"/>
    </row>
    <row r="66" spans="1:31" ht="15.75" thickBot="1" x14ac:dyDescent="0.3">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94"/>
      <c r="O66" s="195"/>
      <c r="P66" s="196"/>
    </row>
    <row r="67" spans="1:31" x14ac:dyDescent="0.25">
      <c r="A67" s="89" t="s">
        <v>615</v>
      </c>
      <c r="B67" s="43">
        <f>SUM(B58:B66)</f>
        <v>2</v>
      </c>
      <c r="C67" s="43">
        <f t="shared" ref="C67:D67" si="11">SUM(C58:C66)</f>
        <v>0</v>
      </c>
      <c r="D67" s="43">
        <f t="shared" si="11"/>
        <v>0</v>
      </c>
      <c r="E67" s="39">
        <f>SUM(E58:E66)</f>
        <v>1</v>
      </c>
      <c r="F67" s="43">
        <f>SUM(F58:F66)</f>
        <v>0</v>
      </c>
      <c r="G67" s="43">
        <f>SUM(G58:G66)</f>
        <v>0</v>
      </c>
      <c r="H67" s="152">
        <f>IF(E67=0,"",(SUMIFS(OpenedNInitial,OpenedComplaintSource,H$57,OpenedComplaintReceived,"&gt;="&amp;$B$9,OpenedComplaintReceived,"&lt;="&amp;$B$10)/E67))</f>
        <v>1</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83" t="s">
        <v>714</v>
      </c>
      <c r="B70" s="183"/>
      <c r="C70" s="183"/>
      <c r="D70" s="183"/>
      <c r="E70" s="183"/>
      <c r="F70" s="183"/>
      <c r="G70" s="183"/>
      <c r="H70" s="183"/>
      <c r="I70" s="183"/>
      <c r="J70" s="183"/>
      <c r="K70" s="183"/>
      <c r="L70" s="183"/>
      <c r="M70" s="183"/>
      <c r="N70" s="183"/>
      <c r="O70" s="183"/>
      <c r="P70" s="183"/>
      <c r="Q70" s="183"/>
    </row>
    <row r="71" spans="1:31" x14ac:dyDescent="0.25">
      <c r="B71" s="185" t="s">
        <v>634</v>
      </c>
      <c r="C71" s="175"/>
      <c r="D71" s="176"/>
      <c r="E71" s="185" t="s">
        <v>25</v>
      </c>
      <c r="F71" s="175"/>
      <c r="G71" s="176"/>
      <c r="H71" s="185" t="s">
        <v>614</v>
      </c>
      <c r="I71" s="175"/>
      <c r="J71" s="175"/>
      <c r="K71" s="176"/>
      <c r="L71" s="185" t="s">
        <v>605</v>
      </c>
      <c r="M71" s="175"/>
      <c r="N71" s="175"/>
      <c r="O71" s="175"/>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v>1</v>
      </c>
      <c r="C73" s="141">
        <v>120</v>
      </c>
      <c r="D73" s="29">
        <f t="shared" ref="D73:D81" si="12">COUNTIFS(PendingMSO,$A73,PendingCloseDate,"&gt;="&amp;$B$9,PendingCloseDate,"&lt;="&amp;$B$10, PendingAppealPending, "Yes") + COUNTIFS(OpenedMSO,$A73,OpenedCloseDate,"&gt;="&amp;$B$9,OpenedCloseDate,"&lt;="&amp;$B$10, OpenedAppealPending, "Yes")</f>
        <v>0</v>
      </c>
      <c r="E73" s="35">
        <f t="shared" ref="E73:G81" si="13">COUNTIFS(OpenedMSO, $A73, OpenedComplaintSource, E$72, OpenedCloseDate, "&gt;="&amp;$B$9, OpenedCloseDate, "&lt;="&amp;$B$10, OpenedStatus,"Closed")+COUNTIFS(PendingMSO, $A73, PendingComplaintSource,E$72, PendingCloseDate, "&gt;="&amp;$B$9, PendingCloseDate, "&lt;="&amp;$B$10, PendingStatus, "Closed")</f>
        <v>0</v>
      </c>
      <c r="F73" s="29">
        <v>1</v>
      </c>
      <c r="G73" s="29">
        <f t="shared" si="13"/>
        <v>0</v>
      </c>
      <c r="H73" s="41">
        <f t="shared" ref="H73:K81" si="14">COUNTIFS(OpenedMSO, $A73, OpenedCriminalDisposition, H$72, OpenedCloseDate, "&gt;="&amp;$B$9, OpenedCloseDate, "&lt;="&amp;$B$10, OpenedStatus, "Closed")+COUNTIFS(PendingMSO, $A73, PendingCriminalDisposition, H$72, PendingCloseDate, "&gt;="&amp;$B$9, PendingCloseDate, "&lt;="&amp;$B$10, PendingStatus, "Closed")</f>
        <v>0</v>
      </c>
      <c r="I73" s="42">
        <f t="shared" si="14"/>
        <v>0</v>
      </c>
      <c r="J73" s="42">
        <f t="shared" si="14"/>
        <v>0</v>
      </c>
      <c r="K73" s="29">
        <f t="shared" si="14"/>
        <v>0</v>
      </c>
      <c r="L73" s="35">
        <f t="shared" ref="L73:O81" si="15">COUNTIFS(OpenedMSO, $A73, OpenedInternalDisposition, L$72, OpenedCloseDate, "&gt;="&amp;$B$9, OpenedCloseDate, "&lt;="&amp;$B$10, OpenedStatus, "Closed")+COUNTIFS(PendingMSO, $A73, PendingInternalDisposition, L$72, PendingCloseDate, "&gt;="&amp;$B$9, PendingCloseDate, "&lt;="&amp;$B$10, PendingStatus, "Closed")</f>
        <v>0</v>
      </c>
      <c r="M73" s="29">
        <f t="shared" si="15"/>
        <v>0</v>
      </c>
      <c r="N73" s="29">
        <v>1</v>
      </c>
      <c r="O73" s="29">
        <f t="shared" si="15"/>
        <v>0</v>
      </c>
    </row>
    <row r="74" spans="1:31" x14ac:dyDescent="0.25">
      <c r="A74" s="2" t="s">
        <v>651</v>
      </c>
      <c r="B74" s="36">
        <f t="shared" ref="B73:B81" si="16">COUNTIFS(PendingMSO, $A74,PendingStatus, "Closed",PendingCloseDate,"&gt;="&amp;$B$9,PendingCloseDate,"&lt;="&amp;$B$10) + COUNTIFS(OpenedMSO,$A74,OpenedStatus, "Closed", OpenedCloseDate,"&gt;="&amp;$B$9,OpenedCloseDate,"&lt;="&amp;$B$10)</f>
        <v>0</v>
      </c>
      <c r="C74" s="142" t="str">
        <f t="shared" ref="C73:C81" si="17">IF(B74=0, "", (SUMIFS(PendingLengthOfCase, PendingMSO, $A74, PendingStatus, "Closed", PendingCloseDate,"&gt;="&amp;$B$9, PendingCloseDate,"&lt;="&amp;$B$10) + SUMIFS(OpenedLengthOfCase,OpenedMSO, $A74,OpenedStatus, "Closed",OpenedCloseDate,"&gt;="&amp;$B$9,OpenedCloseDate,"&lt;="&amp;$B$10)) / (COUNTIFS(PendingMSO, $A74, PendingStatus, "Closed", PendingCloseDate,"&gt;="&amp;$B$9, PendingCloseDate,"&lt;="&amp;$B$10) + COUNTIFS(OpenedMSO, $A74,OpenedStatus, "Closed",OpenedCloseDate,"&gt;="&amp;$B$9,OpenedCloseDate,"&lt;="&amp;$B$10)))</f>
        <v/>
      </c>
      <c r="D74" s="30">
        <f t="shared" si="12"/>
        <v>0</v>
      </c>
      <c r="E74" s="36">
        <f t="shared" si="13"/>
        <v>0</v>
      </c>
      <c r="F74" s="30">
        <f t="shared" si="13"/>
        <v>0</v>
      </c>
      <c r="G74" s="30">
        <f t="shared" si="13"/>
        <v>0</v>
      </c>
      <c r="H74" s="36">
        <f t="shared" si="14"/>
        <v>0</v>
      </c>
      <c r="I74" s="30">
        <f t="shared" si="14"/>
        <v>0</v>
      </c>
      <c r="J74" s="30">
        <f t="shared" si="14"/>
        <v>0</v>
      </c>
      <c r="K74" s="31">
        <f t="shared" si="14"/>
        <v>0</v>
      </c>
      <c r="L74" s="36">
        <f t="shared" si="15"/>
        <v>0</v>
      </c>
      <c r="M74" s="30">
        <f t="shared" si="15"/>
        <v>0</v>
      </c>
      <c r="N74" s="30">
        <f t="shared" si="15"/>
        <v>0</v>
      </c>
      <c r="O74" s="30">
        <f t="shared" si="15"/>
        <v>0</v>
      </c>
    </row>
    <row r="75" spans="1:31" x14ac:dyDescent="0.25">
      <c r="A75" s="1" t="s">
        <v>652</v>
      </c>
      <c r="B75" s="35">
        <f t="shared" si="16"/>
        <v>0</v>
      </c>
      <c r="C75" s="141" t="str">
        <f t="shared" si="17"/>
        <v/>
      </c>
      <c r="D75" s="29">
        <f t="shared" si="12"/>
        <v>0</v>
      </c>
      <c r="E75" s="35">
        <f t="shared" si="13"/>
        <v>0</v>
      </c>
      <c r="F75" s="29">
        <f t="shared" si="13"/>
        <v>0</v>
      </c>
      <c r="G75" s="29">
        <f t="shared" si="13"/>
        <v>0</v>
      </c>
      <c r="H75" s="35">
        <f t="shared" si="14"/>
        <v>0</v>
      </c>
      <c r="I75" s="29">
        <f t="shared" si="14"/>
        <v>0</v>
      </c>
      <c r="J75" s="29">
        <f t="shared" si="14"/>
        <v>0</v>
      </c>
      <c r="K75" s="50">
        <f t="shared" si="14"/>
        <v>0</v>
      </c>
      <c r="L75" s="35">
        <f t="shared" si="15"/>
        <v>0</v>
      </c>
      <c r="M75" s="29">
        <f t="shared" si="15"/>
        <v>0</v>
      </c>
      <c r="N75" s="29">
        <f t="shared" si="15"/>
        <v>0</v>
      </c>
      <c r="O75" s="29">
        <f t="shared" si="15"/>
        <v>0</v>
      </c>
    </row>
    <row r="76" spans="1:31" x14ac:dyDescent="0.25">
      <c r="A76" s="2" t="s">
        <v>653</v>
      </c>
      <c r="B76" s="36">
        <f t="shared" si="16"/>
        <v>0</v>
      </c>
      <c r="C76" s="142" t="str">
        <f t="shared" si="17"/>
        <v/>
      </c>
      <c r="D76" s="30">
        <f t="shared" si="12"/>
        <v>0</v>
      </c>
      <c r="E76" s="36">
        <f t="shared" si="13"/>
        <v>0</v>
      </c>
      <c r="F76" s="30">
        <f t="shared" si="13"/>
        <v>0</v>
      </c>
      <c r="G76" s="30">
        <f t="shared" si="13"/>
        <v>0</v>
      </c>
      <c r="H76" s="36">
        <f t="shared" si="14"/>
        <v>0</v>
      </c>
      <c r="I76" s="30">
        <f t="shared" si="14"/>
        <v>0</v>
      </c>
      <c r="J76" s="30">
        <f t="shared" si="14"/>
        <v>0</v>
      </c>
      <c r="K76" s="31">
        <f t="shared" si="14"/>
        <v>0</v>
      </c>
      <c r="L76" s="36">
        <f t="shared" si="15"/>
        <v>0</v>
      </c>
      <c r="M76" s="30">
        <f t="shared" si="15"/>
        <v>0</v>
      </c>
      <c r="N76" s="30">
        <f t="shared" si="15"/>
        <v>0</v>
      </c>
      <c r="O76" s="30">
        <f t="shared" si="15"/>
        <v>0</v>
      </c>
    </row>
    <row r="77" spans="1:31" x14ac:dyDescent="0.25">
      <c r="A77" s="1" t="s">
        <v>654</v>
      </c>
      <c r="B77" s="35">
        <f t="shared" si="16"/>
        <v>0</v>
      </c>
      <c r="C77" s="141" t="str">
        <f t="shared" si="17"/>
        <v/>
      </c>
      <c r="D77" s="29">
        <f t="shared" si="12"/>
        <v>0</v>
      </c>
      <c r="E77" s="35">
        <f t="shared" si="13"/>
        <v>0</v>
      </c>
      <c r="F77" s="29">
        <f t="shared" si="13"/>
        <v>0</v>
      </c>
      <c r="G77" s="29">
        <f t="shared" si="13"/>
        <v>0</v>
      </c>
      <c r="H77" s="35">
        <f t="shared" si="14"/>
        <v>0</v>
      </c>
      <c r="I77" s="29">
        <f t="shared" si="14"/>
        <v>0</v>
      </c>
      <c r="J77" s="29">
        <f t="shared" si="14"/>
        <v>0</v>
      </c>
      <c r="K77" s="50">
        <f t="shared" si="14"/>
        <v>0</v>
      </c>
      <c r="L77" s="35">
        <f t="shared" si="15"/>
        <v>0</v>
      </c>
      <c r="M77" s="29">
        <f t="shared" si="15"/>
        <v>0</v>
      </c>
      <c r="N77" s="29">
        <f t="shared" si="15"/>
        <v>0</v>
      </c>
      <c r="O77" s="29">
        <f t="shared" si="15"/>
        <v>0</v>
      </c>
    </row>
    <row r="78" spans="1:31" x14ac:dyDescent="0.25">
      <c r="A78" s="2" t="s">
        <v>655</v>
      </c>
      <c r="B78" s="36">
        <f t="shared" si="16"/>
        <v>0</v>
      </c>
      <c r="C78" s="142" t="str">
        <f t="shared" si="17"/>
        <v/>
      </c>
      <c r="D78" s="30">
        <f t="shared" si="12"/>
        <v>0</v>
      </c>
      <c r="E78" s="36">
        <f t="shared" si="13"/>
        <v>0</v>
      </c>
      <c r="F78" s="30">
        <f t="shared" si="13"/>
        <v>0</v>
      </c>
      <c r="G78" s="30">
        <f t="shared" si="13"/>
        <v>0</v>
      </c>
      <c r="H78" s="36">
        <f t="shared" si="14"/>
        <v>0</v>
      </c>
      <c r="I78" s="30">
        <f t="shared" si="14"/>
        <v>0</v>
      </c>
      <c r="J78" s="30">
        <f t="shared" si="14"/>
        <v>0</v>
      </c>
      <c r="K78" s="31">
        <f t="shared" si="14"/>
        <v>0</v>
      </c>
      <c r="L78" s="36">
        <f t="shared" si="15"/>
        <v>0</v>
      </c>
      <c r="M78" s="30">
        <f t="shared" si="15"/>
        <v>0</v>
      </c>
      <c r="N78" s="30">
        <f t="shared" si="15"/>
        <v>0</v>
      </c>
      <c r="O78" s="30">
        <f t="shared" si="15"/>
        <v>0</v>
      </c>
    </row>
    <row r="79" spans="1:31" x14ac:dyDescent="0.25">
      <c r="A79" s="1" t="s">
        <v>656</v>
      </c>
      <c r="B79" s="35">
        <f t="shared" si="16"/>
        <v>0</v>
      </c>
      <c r="C79" s="141" t="str">
        <f t="shared" si="17"/>
        <v/>
      </c>
      <c r="D79" s="29">
        <f t="shared" si="12"/>
        <v>0</v>
      </c>
      <c r="E79" s="35">
        <f t="shared" si="13"/>
        <v>0</v>
      </c>
      <c r="F79" s="29">
        <f t="shared" si="13"/>
        <v>0</v>
      </c>
      <c r="G79" s="29">
        <f t="shared" si="13"/>
        <v>0</v>
      </c>
      <c r="H79" s="35">
        <f t="shared" si="14"/>
        <v>0</v>
      </c>
      <c r="I79" s="29">
        <f t="shared" si="14"/>
        <v>0</v>
      </c>
      <c r="J79" s="29">
        <f t="shared" si="14"/>
        <v>0</v>
      </c>
      <c r="K79" s="50">
        <f t="shared" si="14"/>
        <v>0</v>
      </c>
      <c r="L79" s="35">
        <f t="shared" si="15"/>
        <v>0</v>
      </c>
      <c r="M79" s="29">
        <f t="shared" si="15"/>
        <v>0</v>
      </c>
      <c r="N79" s="29">
        <f t="shared" si="15"/>
        <v>0</v>
      </c>
      <c r="O79" s="29">
        <f t="shared" si="15"/>
        <v>0</v>
      </c>
    </row>
    <row r="80" spans="1:31" x14ac:dyDescent="0.25">
      <c r="A80" s="2" t="s">
        <v>5</v>
      </c>
      <c r="B80" s="36">
        <v>1</v>
      </c>
      <c r="C80" s="142">
        <v>45</v>
      </c>
      <c r="D80" s="30">
        <f t="shared" si="12"/>
        <v>0</v>
      </c>
      <c r="E80" s="36">
        <f t="shared" si="13"/>
        <v>0</v>
      </c>
      <c r="F80" s="30">
        <v>1</v>
      </c>
      <c r="G80" s="30">
        <f t="shared" si="13"/>
        <v>0</v>
      </c>
      <c r="H80" s="36">
        <f t="shared" si="14"/>
        <v>0</v>
      </c>
      <c r="I80" s="30">
        <f t="shared" si="14"/>
        <v>0</v>
      </c>
      <c r="J80" s="30">
        <f t="shared" si="14"/>
        <v>0</v>
      </c>
      <c r="K80" s="31">
        <f t="shared" si="14"/>
        <v>0</v>
      </c>
      <c r="L80" s="36">
        <v>1</v>
      </c>
      <c r="M80" s="30">
        <f t="shared" si="15"/>
        <v>0</v>
      </c>
      <c r="N80" s="30">
        <f t="shared" si="15"/>
        <v>0</v>
      </c>
      <c r="O80" s="30">
        <f t="shared" si="15"/>
        <v>0</v>
      </c>
    </row>
    <row r="81" spans="1:20" x14ac:dyDescent="0.25">
      <c r="A81" s="1" t="s">
        <v>657</v>
      </c>
      <c r="B81" s="35">
        <v>4</v>
      </c>
      <c r="C81" s="141">
        <v>38</v>
      </c>
      <c r="D81" s="29">
        <f t="shared" si="12"/>
        <v>0</v>
      </c>
      <c r="E81" s="35">
        <v>4</v>
      </c>
      <c r="F81" s="29">
        <f t="shared" si="13"/>
        <v>0</v>
      </c>
      <c r="G81" s="29">
        <f t="shared" si="13"/>
        <v>0</v>
      </c>
      <c r="H81" s="35">
        <f t="shared" si="14"/>
        <v>0</v>
      </c>
      <c r="I81" s="29">
        <f t="shared" si="14"/>
        <v>0</v>
      </c>
      <c r="J81" s="29">
        <f t="shared" si="14"/>
        <v>0</v>
      </c>
      <c r="K81" s="50">
        <f t="shared" si="14"/>
        <v>0</v>
      </c>
      <c r="L81" s="35">
        <f t="shared" si="15"/>
        <v>0</v>
      </c>
      <c r="M81" s="29">
        <f t="shared" si="15"/>
        <v>0</v>
      </c>
      <c r="N81" s="29">
        <f t="shared" si="15"/>
        <v>0</v>
      </c>
      <c r="O81" s="29">
        <f t="shared" si="15"/>
        <v>0</v>
      </c>
    </row>
    <row r="82" spans="1:20" x14ac:dyDescent="0.25">
      <c r="A82" s="28" t="s">
        <v>615</v>
      </c>
      <c r="B82" s="39">
        <f>SUM(B73:B81)</f>
        <v>6</v>
      </c>
      <c r="C82" s="143">
        <f>IF(B82=0, "", SUMPRODUCT(B73:B81, C73:C81) / B82)</f>
        <v>52.833333333333336</v>
      </c>
      <c r="D82" s="43">
        <f t="shared" ref="D82" si="18">SUM(D73:D81)</f>
        <v>0</v>
      </c>
      <c r="E82" s="39">
        <f t="shared" ref="E82:O82" si="19">SUM(E73:E81)</f>
        <v>4</v>
      </c>
      <c r="F82" s="43">
        <f t="shared" si="19"/>
        <v>2</v>
      </c>
      <c r="G82" s="43">
        <f t="shared" si="19"/>
        <v>0</v>
      </c>
      <c r="H82" s="39">
        <f t="shared" si="19"/>
        <v>0</v>
      </c>
      <c r="I82" s="43">
        <f t="shared" si="19"/>
        <v>0</v>
      </c>
      <c r="J82" s="43">
        <f t="shared" si="19"/>
        <v>0</v>
      </c>
      <c r="K82" s="43">
        <f t="shared" si="19"/>
        <v>0</v>
      </c>
      <c r="L82" s="39">
        <f t="shared" si="19"/>
        <v>1</v>
      </c>
      <c r="M82" s="43">
        <f t="shared" si="19"/>
        <v>0</v>
      </c>
      <c r="N82" s="43">
        <f t="shared" si="19"/>
        <v>1</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7" t="str">
        <f>$B$8&amp;": Cases Closed, All Allegations"</f>
        <v>2023: Cases Closed, All Allegations</v>
      </c>
      <c r="B86" s="207"/>
      <c r="C86" s="207"/>
      <c r="D86" s="207"/>
      <c r="E86" s="207"/>
      <c r="F86" s="207"/>
      <c r="G86" s="207"/>
      <c r="H86" s="207"/>
      <c r="I86" s="207"/>
      <c r="J86" s="207"/>
      <c r="K86" s="207"/>
      <c r="L86" s="207"/>
      <c r="M86" s="207"/>
      <c r="N86" s="207"/>
      <c r="O86" s="207"/>
      <c r="P86" s="207"/>
      <c r="Q86" s="207"/>
      <c r="R86" s="84"/>
      <c r="S86" s="84"/>
      <c r="T86" s="84"/>
    </row>
    <row r="87" spans="1:20" ht="14.65" customHeight="1" x14ac:dyDescent="0.35">
      <c r="A87" s="207"/>
      <c r="B87" s="207"/>
      <c r="C87" s="207"/>
      <c r="D87" s="207"/>
      <c r="E87" s="207"/>
      <c r="F87" s="207"/>
      <c r="G87" s="207"/>
      <c r="H87" s="207"/>
      <c r="I87" s="207"/>
      <c r="J87" s="207"/>
      <c r="K87" s="207"/>
      <c r="L87" s="207"/>
      <c r="M87" s="207"/>
      <c r="N87" s="207"/>
      <c r="O87" s="207"/>
      <c r="P87" s="207"/>
      <c r="Q87" s="207"/>
      <c r="R87" s="84"/>
      <c r="S87" s="84"/>
      <c r="T87" s="84"/>
    </row>
    <row r="88" spans="1:20" ht="14.25" customHeight="1" x14ac:dyDescent="0.25">
      <c r="A88" s="183" t="s">
        <v>616</v>
      </c>
      <c r="B88" s="183"/>
      <c r="C88" s="183"/>
      <c r="D88" s="183"/>
      <c r="E88" s="183"/>
      <c r="F88" s="183"/>
      <c r="G88" s="183"/>
      <c r="H88" s="183"/>
      <c r="I88" s="183"/>
      <c r="J88" s="183"/>
      <c r="K88" s="183"/>
      <c r="L88" s="183"/>
      <c r="M88" s="183"/>
      <c r="N88" s="172" t="s">
        <v>33</v>
      </c>
      <c r="O88" s="172"/>
      <c r="P88" s="184" t="str">
        <f>'Start Here'!C$13</f>
        <v>Wharton Police Department</v>
      </c>
      <c r="Q88" s="184"/>
    </row>
    <row r="89" spans="1:20" ht="14.65" customHeight="1" x14ac:dyDescent="0.25">
      <c r="A89" s="183"/>
      <c r="B89" s="183"/>
      <c r="C89" s="183"/>
      <c r="D89" s="183"/>
      <c r="E89" s="183"/>
      <c r="F89" s="183"/>
      <c r="G89" s="183"/>
      <c r="H89" s="183"/>
      <c r="I89" s="183"/>
      <c r="J89" s="183"/>
      <c r="K89" s="183"/>
      <c r="L89" s="183"/>
      <c r="M89" s="183"/>
      <c r="N89" s="172" t="s">
        <v>34</v>
      </c>
      <c r="O89" s="172"/>
      <c r="P89" s="12">
        <f>'Start Here'!$C$16</f>
        <v>2023</v>
      </c>
    </row>
    <row r="90" spans="1:20" ht="15" customHeight="1" x14ac:dyDescent="0.25">
      <c r="A90" s="192" t="s">
        <v>712</v>
      </c>
      <c r="B90" s="192" t="s">
        <v>617</v>
      </c>
      <c r="C90" s="221"/>
      <c r="D90" s="185" t="s">
        <v>734</v>
      </c>
      <c r="E90" s="175"/>
      <c r="F90" s="175"/>
      <c r="G90" s="175"/>
      <c r="H90" s="175"/>
      <c r="I90" s="175"/>
      <c r="J90" s="175"/>
      <c r="K90" s="175"/>
      <c r="L90" s="176"/>
      <c r="M90" s="192" t="s">
        <v>618</v>
      </c>
    </row>
    <row r="91" spans="1:20" ht="51.75" customHeight="1" x14ac:dyDescent="0.25">
      <c r="A91" s="220"/>
      <c r="B91" s="220"/>
      <c r="C91" s="222"/>
      <c r="D91" s="51" t="s">
        <v>11</v>
      </c>
      <c r="E91" s="51" t="s">
        <v>10</v>
      </c>
      <c r="F91" s="51" t="s">
        <v>9</v>
      </c>
      <c r="G91" s="51" t="s">
        <v>8</v>
      </c>
      <c r="H91" s="51" t="s">
        <v>718</v>
      </c>
      <c r="I91" s="51" t="s">
        <v>6</v>
      </c>
      <c r="J91" s="51" t="s">
        <v>5</v>
      </c>
      <c r="K91" s="51" t="s">
        <v>4</v>
      </c>
      <c r="L91" s="54" t="s">
        <v>711</v>
      </c>
      <c r="M91" s="220"/>
      <c r="R91" s="7"/>
    </row>
    <row r="92" spans="1:20" ht="15" customHeight="1" x14ac:dyDescent="0.25">
      <c r="A92" s="59" t="s">
        <v>658</v>
      </c>
      <c r="B92" s="218">
        <v>1</v>
      </c>
      <c r="C92" s="219"/>
      <c r="D92" s="29">
        <f t="shared" ref="D92:L100" si="20">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0"/>
        <v>0</v>
      </c>
      <c r="F92" s="29">
        <f t="shared" si="20"/>
        <v>0</v>
      </c>
      <c r="G92" s="29">
        <f t="shared" si="20"/>
        <v>0</v>
      </c>
      <c r="H92" s="29">
        <f t="shared" si="20"/>
        <v>0</v>
      </c>
      <c r="I92" s="29">
        <f t="shared" si="20"/>
        <v>0</v>
      </c>
      <c r="J92" s="29">
        <f t="shared" si="20"/>
        <v>0</v>
      </c>
      <c r="K92" s="29">
        <f t="shared" si="20"/>
        <v>0</v>
      </c>
      <c r="L92" s="50">
        <f t="shared" si="20"/>
        <v>0</v>
      </c>
      <c r="M92" s="98">
        <v>1</v>
      </c>
      <c r="R92" s="34"/>
    </row>
    <row r="93" spans="1:20" ht="14.45" customHeight="1" x14ac:dyDescent="0.25">
      <c r="A93" s="32" t="s">
        <v>651</v>
      </c>
      <c r="B93" s="215">
        <f t="shared" ref="B92:B100" si="21">COUNTIFS(PendingMSO, $A93, PendingCloseDate, "&gt;="&amp;$B$9, PendingCloseDate, "&lt;="&amp;$B$10, PendingStatus, "Closed")+COUNTIFS(OpenedMSO, $A93, OpenedCloseDate, "&gt;="&amp;$B$9, OpenedCloseDate,"&lt;="&amp;$B$10, OpenedStatus, "Closed")</f>
        <v>0</v>
      </c>
      <c r="C93" s="216"/>
      <c r="D93" s="30">
        <f t="shared" si="20"/>
        <v>0</v>
      </c>
      <c r="E93" s="30">
        <f t="shared" si="20"/>
        <v>0</v>
      </c>
      <c r="F93" s="30">
        <f t="shared" si="20"/>
        <v>0</v>
      </c>
      <c r="G93" s="30">
        <f t="shared" si="20"/>
        <v>0</v>
      </c>
      <c r="H93" s="30">
        <f t="shared" si="20"/>
        <v>0</v>
      </c>
      <c r="I93" s="30">
        <f t="shared" si="20"/>
        <v>0</v>
      </c>
      <c r="J93" s="30">
        <f t="shared" si="20"/>
        <v>0</v>
      </c>
      <c r="K93" s="30">
        <f t="shared" si="20"/>
        <v>0</v>
      </c>
      <c r="L93" s="31">
        <f t="shared" si="20"/>
        <v>0</v>
      </c>
      <c r="M93" s="133">
        <f t="shared" ref="M92:M100" si="22">COUNTIFS(PendingMSO, $A93, PendingInternalDisposition, "&lt;&gt;Sustained", PendingCloseDate, "&gt;="&amp;$B$9, PendingCloseDate, "&lt;="&amp;$B$10)+COUNTIFS(OpenedMSO, $A93, OpenedInternalDisposition, "&lt;&gt;Sustained",  OpenedCloseDate, "&gt;="&amp;$B$9, OpenedCloseDate, "&lt;="&amp;$B$10)</f>
        <v>0</v>
      </c>
      <c r="R93" s="1"/>
    </row>
    <row r="94" spans="1:20" ht="15" customHeight="1" x14ac:dyDescent="0.25">
      <c r="A94" s="33" t="s">
        <v>652</v>
      </c>
      <c r="B94" s="203">
        <f t="shared" si="21"/>
        <v>0</v>
      </c>
      <c r="C94" s="204"/>
      <c r="D94" s="29">
        <f t="shared" si="20"/>
        <v>0</v>
      </c>
      <c r="E94" s="29">
        <f t="shared" si="20"/>
        <v>0</v>
      </c>
      <c r="F94" s="29">
        <f t="shared" si="20"/>
        <v>0</v>
      </c>
      <c r="G94" s="29">
        <f t="shared" si="20"/>
        <v>0</v>
      </c>
      <c r="H94" s="29">
        <f t="shared" si="20"/>
        <v>0</v>
      </c>
      <c r="I94" s="29">
        <f t="shared" si="20"/>
        <v>0</v>
      </c>
      <c r="J94" s="29">
        <f t="shared" si="20"/>
        <v>0</v>
      </c>
      <c r="K94" s="29">
        <f t="shared" si="20"/>
        <v>0</v>
      </c>
      <c r="L94" s="50">
        <f t="shared" si="20"/>
        <v>0</v>
      </c>
      <c r="M94" s="98">
        <f t="shared" si="22"/>
        <v>0</v>
      </c>
      <c r="R94" s="34"/>
    </row>
    <row r="95" spans="1:20" ht="15" customHeight="1" x14ac:dyDescent="0.25">
      <c r="A95" s="32" t="s">
        <v>653</v>
      </c>
      <c r="B95" s="215">
        <f t="shared" si="21"/>
        <v>0</v>
      </c>
      <c r="C95" s="216"/>
      <c r="D95" s="30">
        <f t="shared" si="20"/>
        <v>0</v>
      </c>
      <c r="E95" s="30">
        <f t="shared" si="20"/>
        <v>0</v>
      </c>
      <c r="F95" s="30">
        <f t="shared" si="20"/>
        <v>0</v>
      </c>
      <c r="G95" s="30">
        <f t="shared" si="20"/>
        <v>0</v>
      </c>
      <c r="H95" s="30">
        <f t="shared" si="20"/>
        <v>0</v>
      </c>
      <c r="I95" s="30">
        <f t="shared" si="20"/>
        <v>0</v>
      </c>
      <c r="J95" s="30">
        <f t="shared" si="20"/>
        <v>0</v>
      </c>
      <c r="K95" s="30">
        <f t="shared" si="20"/>
        <v>0</v>
      </c>
      <c r="L95" s="31">
        <f t="shared" si="20"/>
        <v>0</v>
      </c>
      <c r="M95" s="133">
        <f t="shared" si="22"/>
        <v>0</v>
      </c>
      <c r="R95" s="1"/>
    </row>
    <row r="96" spans="1:20" x14ac:dyDescent="0.25">
      <c r="A96" s="33" t="s">
        <v>654</v>
      </c>
      <c r="B96" s="203">
        <f t="shared" si="21"/>
        <v>0</v>
      </c>
      <c r="C96" s="204"/>
      <c r="D96" s="29">
        <f t="shared" si="20"/>
        <v>0</v>
      </c>
      <c r="E96" s="29">
        <f t="shared" si="20"/>
        <v>0</v>
      </c>
      <c r="F96" s="29">
        <f t="shared" si="20"/>
        <v>0</v>
      </c>
      <c r="G96" s="29">
        <f t="shared" si="20"/>
        <v>0</v>
      </c>
      <c r="H96" s="29">
        <f t="shared" si="20"/>
        <v>0</v>
      </c>
      <c r="I96" s="29">
        <f t="shared" si="20"/>
        <v>0</v>
      </c>
      <c r="J96" s="29">
        <f t="shared" si="20"/>
        <v>0</v>
      </c>
      <c r="K96" s="29">
        <f t="shared" si="20"/>
        <v>0</v>
      </c>
      <c r="L96" s="50">
        <f t="shared" si="20"/>
        <v>0</v>
      </c>
      <c r="M96" s="98">
        <f t="shared" si="22"/>
        <v>0</v>
      </c>
    </row>
    <row r="97" spans="1:19" x14ac:dyDescent="0.25">
      <c r="A97" s="32" t="s">
        <v>655</v>
      </c>
      <c r="B97" s="215">
        <f t="shared" si="21"/>
        <v>0</v>
      </c>
      <c r="C97" s="216"/>
      <c r="D97" s="30">
        <f t="shared" si="20"/>
        <v>0</v>
      </c>
      <c r="E97" s="30">
        <f t="shared" si="20"/>
        <v>0</v>
      </c>
      <c r="F97" s="30">
        <f t="shared" si="20"/>
        <v>0</v>
      </c>
      <c r="G97" s="30">
        <f t="shared" si="20"/>
        <v>0</v>
      </c>
      <c r="H97" s="30">
        <f t="shared" si="20"/>
        <v>0</v>
      </c>
      <c r="I97" s="30">
        <f t="shared" si="20"/>
        <v>0</v>
      </c>
      <c r="J97" s="30">
        <f t="shared" si="20"/>
        <v>0</v>
      </c>
      <c r="K97" s="30">
        <f t="shared" si="20"/>
        <v>0</v>
      </c>
      <c r="L97" s="31">
        <f t="shared" si="20"/>
        <v>0</v>
      </c>
      <c r="M97" s="133">
        <f t="shared" si="22"/>
        <v>0</v>
      </c>
    </row>
    <row r="98" spans="1:19" x14ac:dyDescent="0.25">
      <c r="A98" s="33" t="s">
        <v>656</v>
      </c>
      <c r="B98" s="203">
        <f t="shared" si="21"/>
        <v>0</v>
      </c>
      <c r="C98" s="204"/>
      <c r="D98" s="29">
        <f t="shared" si="20"/>
        <v>0</v>
      </c>
      <c r="E98" s="29">
        <f t="shared" si="20"/>
        <v>0</v>
      </c>
      <c r="F98" s="29">
        <f t="shared" si="20"/>
        <v>0</v>
      </c>
      <c r="G98" s="29">
        <f t="shared" si="20"/>
        <v>0</v>
      </c>
      <c r="H98" s="29">
        <f t="shared" si="20"/>
        <v>0</v>
      </c>
      <c r="I98" s="29">
        <f t="shared" si="20"/>
        <v>0</v>
      </c>
      <c r="J98" s="29">
        <f t="shared" si="20"/>
        <v>0</v>
      </c>
      <c r="K98" s="29">
        <f t="shared" si="20"/>
        <v>0</v>
      </c>
      <c r="L98" s="50">
        <f t="shared" si="20"/>
        <v>0</v>
      </c>
      <c r="M98" s="98">
        <f t="shared" si="22"/>
        <v>0</v>
      </c>
    </row>
    <row r="99" spans="1:19" ht="14.45" customHeight="1" x14ac:dyDescent="0.25">
      <c r="A99" s="32" t="s">
        <v>5</v>
      </c>
      <c r="B99" s="215">
        <v>1</v>
      </c>
      <c r="C99" s="216"/>
      <c r="D99" s="30">
        <f t="shared" si="20"/>
        <v>0</v>
      </c>
      <c r="E99" s="30">
        <f t="shared" si="20"/>
        <v>0</v>
      </c>
      <c r="F99" s="30">
        <f t="shared" si="20"/>
        <v>0</v>
      </c>
      <c r="G99" s="30">
        <f t="shared" si="20"/>
        <v>0</v>
      </c>
      <c r="H99" s="30">
        <f t="shared" si="20"/>
        <v>0</v>
      </c>
      <c r="I99" s="30">
        <f t="shared" si="20"/>
        <v>0</v>
      </c>
      <c r="J99" s="30">
        <f t="shared" si="20"/>
        <v>0</v>
      </c>
      <c r="K99" s="30">
        <f t="shared" si="20"/>
        <v>0</v>
      </c>
      <c r="L99" s="31">
        <f t="shared" si="20"/>
        <v>0</v>
      </c>
      <c r="M99" s="133">
        <v>1</v>
      </c>
    </row>
    <row r="100" spans="1:19" x14ac:dyDescent="0.25">
      <c r="A100" s="38" t="s">
        <v>657</v>
      </c>
      <c r="B100" s="201">
        <v>12</v>
      </c>
      <c r="C100" s="202"/>
      <c r="D100" s="127">
        <f t="shared" si="20"/>
        <v>0</v>
      </c>
      <c r="E100" s="127">
        <f t="shared" si="20"/>
        <v>0</v>
      </c>
      <c r="F100" s="127">
        <f t="shared" si="20"/>
        <v>0</v>
      </c>
      <c r="G100" s="127">
        <f t="shared" si="20"/>
        <v>0</v>
      </c>
      <c r="H100" s="127">
        <f t="shared" si="20"/>
        <v>0</v>
      </c>
      <c r="I100" s="127">
        <f t="shared" si="20"/>
        <v>0</v>
      </c>
      <c r="J100" s="127">
        <f t="shared" si="20"/>
        <v>0</v>
      </c>
      <c r="K100" s="127">
        <f t="shared" si="20"/>
        <v>0</v>
      </c>
      <c r="L100" s="37">
        <v>5</v>
      </c>
      <c r="M100" s="53">
        <v>6</v>
      </c>
    </row>
    <row r="101" spans="1:19" x14ac:dyDescent="0.25">
      <c r="A101" s="32" t="s">
        <v>615</v>
      </c>
      <c r="B101" s="215">
        <f>SUM(B92:C100)</f>
        <v>14</v>
      </c>
      <c r="C101" s="215"/>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5</v>
      </c>
      <c r="M101" s="39">
        <f>SUM(M92:N100)</f>
        <v>8</v>
      </c>
    </row>
    <row r="102" spans="1:19" x14ac:dyDescent="0.25">
      <c r="A102" s="217" t="s">
        <v>716</v>
      </c>
      <c r="B102" s="217"/>
      <c r="C102" s="217"/>
      <c r="D102" s="217"/>
      <c r="E102" s="217"/>
      <c r="F102" s="217"/>
      <c r="G102" s="217"/>
      <c r="H102" s="217"/>
      <c r="I102" s="217"/>
      <c r="J102" s="217"/>
      <c r="K102" s="217"/>
      <c r="L102" s="217"/>
      <c r="M102" s="217"/>
      <c r="N102" s="217"/>
      <c r="O102" s="217"/>
      <c r="P102" s="217"/>
      <c r="Q102" s="217"/>
    </row>
    <row r="103" spans="1:19" x14ac:dyDescent="0.25">
      <c r="A103" s="217" t="s">
        <v>717</v>
      </c>
      <c r="B103" s="217"/>
      <c r="C103" s="217"/>
      <c r="D103" s="217"/>
      <c r="E103" s="217"/>
      <c r="F103" s="217"/>
      <c r="G103" s="217"/>
      <c r="H103" s="217"/>
      <c r="I103" s="217"/>
      <c r="J103" s="217"/>
      <c r="K103" s="217"/>
      <c r="L103" s="217"/>
      <c r="M103" s="217"/>
      <c r="N103" s="217"/>
      <c r="O103" s="217"/>
      <c r="P103" s="217"/>
      <c r="Q103" s="217"/>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8" t="s">
        <v>645</v>
      </c>
      <c r="C106" s="208"/>
      <c r="D106" s="208"/>
      <c r="E106" s="209" t="s">
        <v>635</v>
      </c>
      <c r="F106" s="208"/>
      <c r="G106" s="208"/>
      <c r="H106" s="209" t="s">
        <v>631</v>
      </c>
      <c r="I106" s="208"/>
      <c r="J106" s="210"/>
      <c r="K106" s="197" t="s">
        <v>729</v>
      </c>
      <c r="L106" s="197"/>
    </row>
    <row r="107" spans="1:19" ht="30.75" customHeight="1" x14ac:dyDescent="0.25">
      <c r="B107" s="211" t="s">
        <v>25</v>
      </c>
      <c r="C107" s="212"/>
      <c r="D107" s="212"/>
      <c r="E107" s="211" t="s">
        <v>25</v>
      </c>
      <c r="F107" s="212"/>
      <c r="G107" s="212"/>
      <c r="H107" s="49"/>
      <c r="I107" s="132" t="s">
        <v>25</v>
      </c>
      <c r="J107" s="130"/>
      <c r="K107" s="213" t="s">
        <v>637</v>
      </c>
      <c r="L107" s="214"/>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v>0</v>
      </c>
      <c r="C116" s="30">
        <f t="shared" si="24"/>
        <v>0</v>
      </c>
      <c r="D116" s="30">
        <f t="shared" si="24"/>
        <v>0</v>
      </c>
      <c r="E116" s="146">
        <v>1</v>
      </c>
      <c r="F116" s="142" t="str">
        <f t="shared" si="25"/>
        <v/>
      </c>
      <c r="G116" s="142" t="str">
        <f t="shared" si="25"/>
        <v/>
      </c>
      <c r="H116" s="36">
        <f t="shared" si="26"/>
        <v>0</v>
      </c>
      <c r="I116" s="30">
        <f t="shared" si="26"/>
        <v>0</v>
      </c>
      <c r="J116" s="30">
        <f t="shared" si="26"/>
        <v>0</v>
      </c>
      <c r="K116" s="146" t="str">
        <f t="shared" si="27"/>
        <v/>
      </c>
      <c r="L116" s="142">
        <v>50</v>
      </c>
    </row>
    <row r="117" spans="1:17" x14ac:dyDescent="0.25">
      <c r="A117" s="47" t="s">
        <v>657</v>
      </c>
      <c r="B117" s="29">
        <v>4</v>
      </c>
      <c r="C117" s="29">
        <f t="shared" si="24"/>
        <v>0</v>
      </c>
      <c r="D117" s="29">
        <f t="shared" si="24"/>
        <v>0</v>
      </c>
      <c r="E117" s="144">
        <v>4</v>
      </c>
      <c r="F117" s="145" t="str">
        <f t="shared" si="25"/>
        <v/>
      </c>
      <c r="G117" s="145" t="str">
        <f t="shared" si="25"/>
        <v/>
      </c>
      <c r="H117" s="35">
        <f t="shared" si="26"/>
        <v>0</v>
      </c>
      <c r="I117" s="29">
        <f t="shared" si="26"/>
        <v>0</v>
      </c>
      <c r="J117" s="29">
        <f t="shared" si="26"/>
        <v>0</v>
      </c>
      <c r="K117" s="147">
        <v>50</v>
      </c>
      <c r="L117" s="141">
        <f t="shared" si="28"/>
        <v>0</v>
      </c>
    </row>
    <row r="118" spans="1:17" x14ac:dyDescent="0.25">
      <c r="A118" s="62" t="s">
        <v>615</v>
      </c>
      <c r="B118" s="43">
        <f>SUM(B109:B117)</f>
        <v>4</v>
      </c>
      <c r="C118" s="43">
        <f t="shared" ref="C118:D118" si="29">SUM(C109:C117)</f>
        <v>0</v>
      </c>
      <c r="D118" s="43">
        <f t="shared" si="29"/>
        <v>0</v>
      </c>
      <c r="E118" s="14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f>IF(B101-M101 = 0, "", (SUMIFS(PendingLengthOfCase, PendingInternalDisposition, "Sustained", PendingCloseDate, "&gt;="&amp;$B$9, PendingCloseDate, "&lt;="&amp;$B$10) + SUMIFS(OpenedLengthOfCase, OpenedInternalDisposition, "Sustained", OpenedCloseDate, "&gt;="&amp;$B$9, OpenedCloseDate, "&lt;="&amp;$B$10)) / (B101-M101))</f>
        <v>0</v>
      </c>
      <c r="L118" s="151">
        <f>IF(M101=0, "", (SUMIFS(PendingLengthOfCase, PendingInternalDisposition, "&lt;&gt;Sustained", PendingCloseDate, "&gt;="&amp;$B$9, PendingCloseDate, "&lt;="&amp;$B$10) + SUMIFS(OpenedLengthOfCase, OpenedInternalDisposition, "&lt;&gt;Sustained", OpenedCloseDate, "&gt;="&amp;$B$9, OpenedCloseDate, "&lt;="&amp;$B$10)) / M101)</f>
        <v>0</v>
      </c>
    </row>
    <row r="120" spans="1:17" x14ac:dyDescent="0.25">
      <c r="A120" s="207" t="str">
        <f>$B$8&amp;": Cases Opened and Closed, Alleged Other Rule Violations"</f>
        <v>2023: Cases Opened and Closed, Alleged Other Rule Violations</v>
      </c>
      <c r="B120" s="207"/>
      <c r="C120" s="207"/>
      <c r="D120" s="207"/>
      <c r="E120" s="207"/>
      <c r="F120" s="207"/>
      <c r="G120" s="207"/>
      <c r="H120" s="207"/>
      <c r="I120" s="207"/>
      <c r="J120" s="207"/>
      <c r="K120" s="207"/>
      <c r="L120" s="207"/>
      <c r="M120" s="207"/>
      <c r="N120" s="207"/>
      <c r="O120" s="207"/>
      <c r="P120" s="207"/>
      <c r="Q120" s="207"/>
    </row>
    <row r="121" spans="1:17" x14ac:dyDescent="0.25">
      <c r="A121" s="207"/>
      <c r="B121" s="207"/>
      <c r="C121" s="207"/>
      <c r="D121" s="207"/>
      <c r="E121" s="207"/>
      <c r="F121" s="207"/>
      <c r="G121" s="207"/>
      <c r="H121" s="207"/>
      <c r="I121" s="207"/>
      <c r="J121" s="207"/>
      <c r="K121" s="207"/>
      <c r="L121" s="207"/>
      <c r="M121" s="207"/>
      <c r="N121" s="207"/>
      <c r="O121" s="207"/>
      <c r="P121" s="207"/>
      <c r="Q121" s="207"/>
    </row>
    <row r="122" spans="1:17" ht="21" x14ac:dyDescent="0.25">
      <c r="A122" s="183" t="s">
        <v>719</v>
      </c>
      <c r="B122" s="183"/>
      <c r="C122" s="183"/>
      <c r="D122" s="183"/>
      <c r="E122" s="183"/>
      <c r="F122" s="183"/>
      <c r="G122" s="183"/>
      <c r="H122" s="183"/>
      <c r="I122" s="183"/>
      <c r="J122" s="183"/>
      <c r="K122" s="183"/>
      <c r="L122" s="183"/>
      <c r="M122" s="172" t="s">
        <v>33</v>
      </c>
      <c r="N122" s="172"/>
      <c r="O122" s="184" t="str">
        <f>'Start Here'!C$13</f>
        <v>Wharton Police Department</v>
      </c>
      <c r="P122" s="184"/>
      <c r="Q122" s="184"/>
    </row>
    <row r="123" spans="1:17" x14ac:dyDescent="0.25">
      <c r="D123" s="175" t="s">
        <v>25</v>
      </c>
      <c r="E123" s="175"/>
      <c r="F123" s="175"/>
      <c r="G123" s="175"/>
      <c r="H123" s="175"/>
      <c r="I123" s="175"/>
      <c r="J123" s="175"/>
      <c r="K123" s="175"/>
      <c r="L123" s="175"/>
      <c r="M123" s="172" t="s">
        <v>34</v>
      </c>
      <c r="N123" s="172"/>
      <c r="O123" s="12">
        <f>'Start Here'!$C$16</f>
        <v>2023</v>
      </c>
    </row>
    <row r="124" spans="1:17" x14ac:dyDescent="0.25">
      <c r="C124" s="65"/>
      <c r="D124" s="203" t="s">
        <v>32</v>
      </c>
      <c r="E124" s="203"/>
      <c r="F124" s="203"/>
      <c r="G124" s="205" t="s">
        <v>624</v>
      </c>
      <c r="H124" s="203"/>
      <c r="I124" s="203"/>
      <c r="J124" s="206" t="s">
        <v>646</v>
      </c>
      <c r="K124" s="186"/>
      <c r="L124" s="186"/>
    </row>
    <row r="125" spans="1:17" ht="16.5" customHeight="1" x14ac:dyDescent="0.25">
      <c r="A125" s="201" t="s">
        <v>736</v>
      </c>
      <c r="B125" s="201"/>
      <c r="C125" s="202"/>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8" t="s">
        <v>720</v>
      </c>
      <c r="O127" s="189"/>
      <c r="P127" s="190"/>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91"/>
      <c r="O128" s="192"/>
      <c r="P128" s="193"/>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91"/>
      <c r="O129" s="192"/>
      <c r="P129" s="193"/>
    </row>
    <row r="130" spans="1:23" x14ac:dyDescent="0.25">
      <c r="A130" s="1" t="s">
        <v>660</v>
      </c>
      <c r="C130" s="65"/>
      <c r="D130" s="29">
        <f t="shared" si="31"/>
        <v>0</v>
      </c>
      <c r="E130" s="29">
        <f t="shared" si="31"/>
        <v>0</v>
      </c>
      <c r="F130" s="50">
        <f t="shared" si="31"/>
        <v>0</v>
      </c>
      <c r="G130" s="29">
        <f t="shared" si="32"/>
        <v>1</v>
      </c>
      <c r="H130" s="29">
        <f t="shared" si="32"/>
        <v>0</v>
      </c>
      <c r="I130" s="50">
        <f t="shared" si="32"/>
        <v>0</v>
      </c>
      <c r="J130" s="29">
        <f t="shared" si="33"/>
        <v>1</v>
      </c>
      <c r="K130" s="29" t="str">
        <f t="shared" si="33"/>
        <v/>
      </c>
      <c r="L130" s="29" t="str">
        <f t="shared" si="33"/>
        <v/>
      </c>
      <c r="N130" s="191"/>
      <c r="O130" s="192"/>
      <c r="P130" s="193"/>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91"/>
      <c r="O131" s="192"/>
      <c r="P131" s="193"/>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91"/>
      <c r="O132" s="192"/>
      <c r="P132" s="193"/>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91"/>
      <c r="O133" s="192"/>
      <c r="P133" s="193"/>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91"/>
      <c r="O134" s="192"/>
      <c r="P134" s="193"/>
    </row>
    <row r="135" spans="1:23" ht="15.75" thickBot="1" x14ac:dyDescent="0.3">
      <c r="A135" s="2" t="s">
        <v>675</v>
      </c>
      <c r="B135" s="67"/>
      <c r="C135" s="71"/>
      <c r="D135" s="30">
        <v>0</v>
      </c>
      <c r="E135" s="30">
        <f t="shared" si="31"/>
        <v>0</v>
      </c>
      <c r="F135" s="31">
        <f t="shared" si="31"/>
        <v>0</v>
      </c>
      <c r="G135" s="30">
        <v>4</v>
      </c>
      <c r="H135" s="30">
        <f t="shared" si="32"/>
        <v>0</v>
      </c>
      <c r="I135" s="31">
        <f t="shared" si="32"/>
        <v>0</v>
      </c>
      <c r="J135" s="67">
        <v>4</v>
      </c>
      <c r="K135" s="67" t="str">
        <f t="shared" si="33"/>
        <v/>
      </c>
      <c r="L135" s="67" t="str">
        <f t="shared" si="33"/>
        <v/>
      </c>
      <c r="N135" s="194"/>
      <c r="O135" s="195"/>
      <c r="P135" s="196"/>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1</v>
      </c>
      <c r="H139" s="30">
        <f t="shared" si="32"/>
        <v>0</v>
      </c>
      <c r="I139" s="31">
        <f t="shared" si="32"/>
        <v>0</v>
      </c>
      <c r="J139" s="67">
        <v>1</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v>6</v>
      </c>
      <c r="I141" s="68">
        <f t="shared" si="32"/>
        <v>0</v>
      </c>
      <c r="J141" s="67" t="str">
        <f t="shared" si="33"/>
        <v/>
      </c>
      <c r="K141" s="67">
        <f t="shared" si="33"/>
        <v>0</v>
      </c>
      <c r="L141" s="67" t="str">
        <f t="shared" si="33"/>
        <v/>
      </c>
    </row>
    <row r="142" spans="1:23" x14ac:dyDescent="0.25">
      <c r="D142" s="70">
        <f t="shared" ref="D142" si="34">SUM(D126:D141)</f>
        <v>1</v>
      </c>
      <c r="E142" s="69">
        <f>SUM(E126:E141)</f>
        <v>0</v>
      </c>
      <c r="F142" s="69">
        <f>SUM(F126:F141)</f>
        <v>0</v>
      </c>
      <c r="G142" s="70">
        <f t="shared" ref="G142:H142" si="35">SUM(G126:G141)</f>
        <v>6</v>
      </c>
      <c r="H142" s="69">
        <f t="shared" si="35"/>
        <v>6</v>
      </c>
      <c r="I142" s="69">
        <f>SUM(I126:I141)</f>
        <v>0</v>
      </c>
      <c r="J142" s="70">
        <f>IF(G142=0,"",(SUMIFS(OpenedNInitial,OpenedComplaintSource,H$57,OpenedComplaintReceived,"&gt;="&amp;$B$9,OpenedComplaintReceived,"&lt;="&amp;$B$10)/G142))</f>
        <v>0.16666666666666666</v>
      </c>
      <c r="K142" s="69">
        <f>IF(H142=0,"",(SUMIFS(OpenedNInitial,OpenedComplaintSource,I$57,OpenedComplaintReceived,"&gt;="&amp;$B$9,OpenedComplaintReceived,"&lt;="&amp;$B$10)/H142))</f>
        <v>0</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83" t="s">
        <v>693</v>
      </c>
      <c r="B144" s="183"/>
      <c r="C144" s="183"/>
      <c r="D144" s="183"/>
      <c r="E144" s="183"/>
      <c r="F144" s="183"/>
      <c r="G144" s="183"/>
      <c r="H144" s="183"/>
      <c r="I144" s="183"/>
      <c r="J144" s="183"/>
      <c r="K144" s="183"/>
      <c r="L144" s="183"/>
      <c r="M144" s="183"/>
      <c r="N144" s="183"/>
      <c r="O144" s="183"/>
      <c r="P144" s="183"/>
      <c r="Q144" s="183"/>
    </row>
    <row r="145" spans="1:17" x14ac:dyDescent="0.25">
      <c r="D145" s="185" t="s">
        <v>634</v>
      </c>
      <c r="E145" s="175"/>
      <c r="F145" s="176"/>
      <c r="G145" s="185" t="s">
        <v>25</v>
      </c>
      <c r="H145" s="175"/>
      <c r="I145" s="176"/>
      <c r="J145" s="185" t="s">
        <v>614</v>
      </c>
      <c r="K145" s="175"/>
      <c r="L145" s="175"/>
      <c r="M145" s="176"/>
      <c r="N145" s="185" t="s">
        <v>605</v>
      </c>
      <c r="O145" s="175"/>
      <c r="P145" s="175"/>
      <c r="Q145" s="175"/>
    </row>
    <row r="146" spans="1:17" ht="45" x14ac:dyDescent="0.25">
      <c r="A146" s="201" t="s">
        <v>736</v>
      </c>
      <c r="B146" s="201"/>
      <c r="C146" s="202"/>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v>1</v>
      </c>
      <c r="E151" s="141">
        <f t="shared" si="37"/>
        <v>0</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v>1</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v>4</v>
      </c>
      <c r="E156" s="142">
        <f t="shared" si="37"/>
        <v>0</v>
      </c>
      <c r="F156" s="31">
        <f t="shared" si="38"/>
        <v>0</v>
      </c>
      <c r="G156" s="30">
        <v>4</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v>1</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v>0</v>
      </c>
      <c r="H162" s="30">
        <v>6</v>
      </c>
      <c r="I162" s="68">
        <f t="shared" si="39"/>
        <v>0</v>
      </c>
      <c r="J162" s="30">
        <f t="shared" si="40"/>
        <v>0</v>
      </c>
      <c r="K162" s="30">
        <f t="shared" si="40"/>
        <v>0</v>
      </c>
      <c r="L162" s="30">
        <f t="shared" si="40"/>
        <v>0</v>
      </c>
      <c r="M162" s="68">
        <f t="shared" si="40"/>
        <v>0</v>
      </c>
      <c r="N162" s="30">
        <f t="shared" si="41"/>
        <v>0</v>
      </c>
      <c r="O162" s="30">
        <v>5</v>
      </c>
      <c r="P162" s="30">
        <f t="shared" si="42"/>
        <v>0</v>
      </c>
      <c r="Q162" s="30">
        <f t="shared" si="42"/>
        <v>0</v>
      </c>
    </row>
    <row r="163" spans="1:17" x14ac:dyDescent="0.25">
      <c r="D163" s="70">
        <f>SUM(D147:D162)</f>
        <v>5</v>
      </c>
      <c r="E163" s="153">
        <f>IF(D163=0, "", SUMPRODUCT(D147:D162, E147:E162) / D163)</f>
        <v>0</v>
      </c>
      <c r="F163" s="69">
        <f t="shared" ref="F163:Q163" si="43">SUM(F147:F162)</f>
        <v>0</v>
      </c>
      <c r="G163" s="70">
        <f t="shared" si="43"/>
        <v>5</v>
      </c>
      <c r="H163" s="69">
        <f>SUM(H147:H162)</f>
        <v>6</v>
      </c>
      <c r="I163" s="69">
        <f t="shared" si="43"/>
        <v>0</v>
      </c>
      <c r="J163" s="70">
        <f t="shared" si="43"/>
        <v>0</v>
      </c>
      <c r="K163" s="69">
        <f t="shared" si="43"/>
        <v>0</v>
      </c>
      <c r="L163" s="69">
        <f t="shared" si="43"/>
        <v>0</v>
      </c>
      <c r="M163" s="69">
        <f t="shared" si="43"/>
        <v>0</v>
      </c>
      <c r="N163" s="70">
        <f t="shared" si="43"/>
        <v>0</v>
      </c>
      <c r="O163" s="69">
        <f>SUM(O147:O162)</f>
        <v>5</v>
      </c>
      <c r="P163" s="69">
        <f t="shared" si="43"/>
        <v>1</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82" t="str">
        <f>$B$8&amp;": Cases Closed, Alleged Other Rule Violations"</f>
        <v>2023: Cases Closed, Alleged Other Rule Violations</v>
      </c>
      <c r="B165" s="182"/>
      <c r="C165" s="182"/>
      <c r="D165" s="182"/>
      <c r="E165" s="182"/>
      <c r="F165" s="182"/>
      <c r="G165" s="182"/>
      <c r="H165" s="182"/>
      <c r="I165" s="182"/>
      <c r="J165" s="182"/>
      <c r="K165" s="182"/>
      <c r="L165" s="182"/>
      <c r="M165" s="182"/>
      <c r="N165" s="182"/>
      <c r="O165" s="182"/>
      <c r="P165" s="182"/>
      <c r="Q165" s="182"/>
    </row>
    <row r="166" spans="1:17" x14ac:dyDescent="0.25">
      <c r="A166" s="182"/>
      <c r="B166" s="182"/>
      <c r="C166" s="182"/>
      <c r="D166" s="182"/>
      <c r="E166" s="182"/>
      <c r="F166" s="182"/>
      <c r="G166" s="182"/>
      <c r="H166" s="182"/>
      <c r="I166" s="182"/>
      <c r="J166" s="182"/>
      <c r="K166" s="182"/>
      <c r="L166" s="182"/>
      <c r="M166" s="182"/>
      <c r="N166" s="182"/>
      <c r="O166" s="182"/>
      <c r="P166" s="182"/>
      <c r="Q166" s="182"/>
    </row>
    <row r="167" spans="1:17" ht="21" customHeight="1" x14ac:dyDescent="0.25">
      <c r="A167" s="183" t="s">
        <v>737</v>
      </c>
      <c r="B167" s="183"/>
      <c r="C167" s="183"/>
      <c r="D167" s="183"/>
      <c r="E167" s="183"/>
      <c r="F167" s="183"/>
      <c r="G167" s="183"/>
      <c r="H167" s="183"/>
      <c r="I167" s="183"/>
      <c r="J167" s="183"/>
      <c r="K167" s="183"/>
      <c r="L167" s="183"/>
      <c r="M167" s="172" t="s">
        <v>33</v>
      </c>
      <c r="N167" s="172"/>
      <c r="O167" s="184" t="str">
        <f>'Start Here'!C$13</f>
        <v>Wharton Police Department</v>
      </c>
      <c r="P167" s="184"/>
      <c r="Q167" s="184"/>
    </row>
    <row r="168" spans="1:17" ht="36" customHeight="1" x14ac:dyDescent="0.25">
      <c r="C168" s="65"/>
      <c r="D168" s="200" t="s">
        <v>645</v>
      </c>
      <c r="E168" s="200"/>
      <c r="F168" s="199"/>
      <c r="G168" s="198" t="s">
        <v>635</v>
      </c>
      <c r="H168" s="200"/>
      <c r="I168" s="199"/>
      <c r="J168" s="198" t="s">
        <v>631</v>
      </c>
      <c r="K168" s="200"/>
      <c r="L168" s="200"/>
      <c r="M168" s="172" t="s">
        <v>34</v>
      </c>
      <c r="N168" s="172"/>
      <c r="O168" s="12">
        <f>'Start Here'!$C$16</f>
        <v>2023</v>
      </c>
    </row>
    <row r="169" spans="1:17" x14ac:dyDescent="0.25">
      <c r="D169" s="185" t="s">
        <v>25</v>
      </c>
      <c r="E169" s="175"/>
      <c r="F169" s="176"/>
      <c r="G169" s="185" t="s">
        <v>25</v>
      </c>
      <c r="H169" s="175"/>
      <c r="I169" s="176"/>
      <c r="J169" s="185" t="s">
        <v>25</v>
      </c>
      <c r="K169" s="175"/>
      <c r="L169" s="175"/>
    </row>
    <row r="170" spans="1:17" ht="15.75" customHeight="1" x14ac:dyDescent="0.25">
      <c r="A170" s="186" t="s">
        <v>733</v>
      </c>
      <c r="B170" s="186"/>
      <c r="C170" s="187"/>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8" t="s">
        <v>724</v>
      </c>
      <c r="O172" s="189"/>
      <c r="P172" s="190"/>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91"/>
      <c r="O173" s="192"/>
      <c r="P173" s="193"/>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91"/>
      <c r="O174" s="192"/>
      <c r="P174" s="193"/>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91"/>
      <c r="O175" s="192"/>
      <c r="P175" s="193"/>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91"/>
      <c r="O176" s="192"/>
      <c r="P176" s="193"/>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91"/>
      <c r="O177" s="192"/>
      <c r="P177" s="193"/>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91"/>
      <c r="O178" s="192"/>
      <c r="P178" s="193"/>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91"/>
      <c r="O179" s="192"/>
      <c r="P179" s="193"/>
    </row>
    <row r="180" spans="1:17" x14ac:dyDescent="0.25">
      <c r="A180" s="32" t="s">
        <v>675</v>
      </c>
      <c r="B180" s="67"/>
      <c r="C180" s="71"/>
      <c r="D180" s="30">
        <v>4</v>
      </c>
      <c r="E180" s="30">
        <f t="shared" si="44"/>
        <v>0</v>
      </c>
      <c r="F180" s="31">
        <f t="shared" si="44"/>
        <v>0</v>
      </c>
      <c r="G180" s="142">
        <v>4</v>
      </c>
      <c r="H180" s="142" t="str">
        <f t="shared" si="45"/>
        <v/>
      </c>
      <c r="I180" s="155" t="str">
        <f t="shared" si="45"/>
        <v/>
      </c>
      <c r="J180" s="30">
        <f t="shared" si="46"/>
        <v>0</v>
      </c>
      <c r="K180" s="30">
        <f t="shared" si="46"/>
        <v>0</v>
      </c>
      <c r="L180" s="30">
        <f t="shared" si="46"/>
        <v>0</v>
      </c>
      <c r="N180" s="191"/>
      <c r="O180" s="192"/>
      <c r="P180" s="193"/>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91"/>
      <c r="O181" s="192"/>
      <c r="P181" s="193"/>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91"/>
      <c r="O182" s="192"/>
      <c r="P182" s="193"/>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91"/>
      <c r="O183" s="192"/>
      <c r="P183" s="193"/>
    </row>
    <row r="184" spans="1:17" x14ac:dyDescent="0.25">
      <c r="A184" s="2" t="s">
        <v>691</v>
      </c>
      <c r="B184" s="67"/>
      <c r="C184" s="71"/>
      <c r="D184" s="30">
        <v>1</v>
      </c>
      <c r="E184" s="30">
        <f t="shared" si="44"/>
        <v>0</v>
      </c>
      <c r="F184" s="31">
        <f t="shared" si="44"/>
        <v>0</v>
      </c>
      <c r="G184" s="142">
        <v>1</v>
      </c>
      <c r="H184" s="142" t="str">
        <f t="shared" si="45"/>
        <v/>
      </c>
      <c r="I184" s="155" t="str">
        <f t="shared" si="45"/>
        <v/>
      </c>
      <c r="J184" s="30">
        <f t="shared" si="46"/>
        <v>0</v>
      </c>
      <c r="K184" s="30">
        <f t="shared" si="46"/>
        <v>0</v>
      </c>
      <c r="L184" s="30">
        <f t="shared" si="46"/>
        <v>0</v>
      </c>
      <c r="N184" s="191"/>
      <c r="O184" s="192"/>
      <c r="P184" s="193"/>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91"/>
      <c r="O185" s="192"/>
      <c r="P185" s="193"/>
    </row>
    <row r="186" spans="1:17" ht="15.75" thickBot="1" x14ac:dyDescent="0.3">
      <c r="A186" s="2" t="s">
        <v>679</v>
      </c>
      <c r="B186" s="67"/>
      <c r="C186" s="71"/>
      <c r="D186" s="30">
        <f t="shared" si="44"/>
        <v>0</v>
      </c>
      <c r="E186" s="30">
        <v>6</v>
      </c>
      <c r="F186" s="31">
        <f t="shared" si="44"/>
        <v>0</v>
      </c>
      <c r="G186" s="142" t="str">
        <f t="shared" si="45"/>
        <v/>
      </c>
      <c r="H186" s="142">
        <v>1</v>
      </c>
      <c r="I186" s="155" t="str">
        <f t="shared" si="45"/>
        <v/>
      </c>
      <c r="J186" s="30">
        <f t="shared" si="46"/>
        <v>0</v>
      </c>
      <c r="K186" s="30">
        <f t="shared" si="46"/>
        <v>0</v>
      </c>
      <c r="L186" s="30">
        <f t="shared" si="46"/>
        <v>0</v>
      </c>
      <c r="N186" s="194"/>
      <c r="O186" s="195"/>
      <c r="P186" s="196"/>
    </row>
    <row r="187" spans="1:17" x14ac:dyDescent="0.25">
      <c r="A187" s="73"/>
      <c r="B187" s="73"/>
      <c r="C187" s="74"/>
      <c r="D187" s="69">
        <f>SUM(D171:D186)</f>
        <v>5</v>
      </c>
      <c r="E187" s="69">
        <f t="shared" ref="E187:F187" si="47">SUM(E171:E186)</f>
        <v>6</v>
      </c>
      <c r="F187" s="83">
        <f t="shared" si="47"/>
        <v>0</v>
      </c>
      <c r="G187" s="153">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v>
      </c>
      <c r="H187" s="153">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0</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7" t="s">
        <v>721</v>
      </c>
      <c r="B189" s="197"/>
      <c r="C189" s="197"/>
      <c r="D189" s="197"/>
      <c r="E189" s="197"/>
      <c r="F189" s="197"/>
      <c r="G189" s="197"/>
      <c r="H189" s="197"/>
      <c r="I189" s="197"/>
      <c r="J189" s="197"/>
      <c r="K189" s="197"/>
      <c r="L189" s="197"/>
      <c r="M189" s="140"/>
      <c r="N189" s="140"/>
      <c r="O189" s="140"/>
      <c r="Q189" s="98"/>
    </row>
    <row r="190" spans="1:17" ht="40.5" customHeight="1" x14ac:dyDescent="0.25">
      <c r="A190" s="140"/>
      <c r="B190" s="140"/>
      <c r="C190" s="105"/>
      <c r="D190" s="200" t="s">
        <v>722</v>
      </c>
      <c r="E190" s="199"/>
      <c r="F190" s="200" t="s">
        <v>732</v>
      </c>
      <c r="G190" s="200"/>
      <c r="H190" s="140"/>
      <c r="I190" s="140"/>
      <c r="J190" s="140"/>
      <c r="K190" s="140"/>
      <c r="L190" s="140"/>
      <c r="M190" s="140"/>
      <c r="N190" s="140"/>
      <c r="O190" s="140"/>
      <c r="Q190" s="98"/>
    </row>
    <row r="191" spans="1:17" ht="33" customHeight="1" x14ac:dyDescent="0.25">
      <c r="D191" s="177" t="s">
        <v>723</v>
      </c>
      <c r="E191" s="178"/>
      <c r="F191" s="177" t="s">
        <v>723</v>
      </c>
      <c r="G191" s="179"/>
      <c r="H191" s="101"/>
      <c r="Q191" s="98"/>
    </row>
    <row r="192" spans="1:17" ht="45" customHeight="1" x14ac:dyDescent="0.25">
      <c r="A192" s="180" t="s">
        <v>725</v>
      </c>
      <c r="B192" s="180"/>
      <c r="C192" s="181"/>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v>4</v>
      </c>
      <c r="E202" s="114">
        <f t="shared" si="50"/>
        <v>0</v>
      </c>
      <c r="F202" s="142">
        <v>35</v>
      </c>
      <c r="G202" s="142">
        <f t="shared" si="52"/>
        <v>0</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v>1</v>
      </c>
      <c r="E206" s="114">
        <f t="shared" si="50"/>
        <v>0</v>
      </c>
      <c r="F206" s="142">
        <v>25</v>
      </c>
      <c r="G206" s="142">
        <f t="shared" si="52"/>
        <v>0</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v>1</v>
      </c>
      <c r="E208" s="114">
        <f t="shared" si="50"/>
        <v>0</v>
      </c>
      <c r="F208" s="142">
        <v>22</v>
      </c>
      <c r="G208" s="142">
        <f t="shared" si="52"/>
        <v>0</v>
      </c>
      <c r="H208" s="98"/>
      <c r="Q208" s="98"/>
    </row>
    <row r="209" spans="1:17" x14ac:dyDescent="0.25">
      <c r="A209" s="73"/>
      <c r="B209" s="73"/>
      <c r="C209" s="74"/>
      <c r="D209" s="117">
        <f>SUM(D193:D208)</f>
        <v>6</v>
      </c>
      <c r="E209" s="118">
        <f>SUM(E193:E208)</f>
        <v>0</v>
      </c>
      <c r="F209" s="153">
        <f>IF(D209 = 0, "", SUMPRODUCT(D193:D208, F193:F208) / D209)</f>
        <v>31.166666666666668</v>
      </c>
      <c r="G209" s="153" t="str">
        <f>IF(E209 = 0, "", SUMPRODUCT(E193:E208, G193:G208) / E209)</f>
        <v/>
      </c>
      <c r="H209" s="98"/>
      <c r="Q209" s="98"/>
    </row>
    <row r="210" spans="1:17" x14ac:dyDescent="0.25">
      <c r="A210" s="182" t="str">
        <f>$B$8&amp;": Cases Opened and Closed, Alleged Criminal Violations"</f>
        <v>2023: Cases Opened and Closed, Alleged Criminal Violations</v>
      </c>
      <c r="B210" s="182"/>
      <c r="C210" s="182"/>
      <c r="D210" s="182"/>
      <c r="E210" s="182"/>
      <c r="F210" s="182"/>
      <c r="G210" s="182"/>
      <c r="H210" s="182"/>
      <c r="I210" s="182"/>
      <c r="J210" s="182"/>
      <c r="K210" s="182"/>
      <c r="L210" s="182"/>
      <c r="M210" s="182"/>
      <c r="N210" s="182"/>
      <c r="O210" s="182"/>
      <c r="P210" s="182"/>
      <c r="Q210" s="182"/>
    </row>
    <row r="211" spans="1:17" x14ac:dyDescent="0.25">
      <c r="A211" s="182"/>
      <c r="B211" s="182"/>
      <c r="C211" s="182"/>
      <c r="D211" s="182"/>
      <c r="E211" s="182"/>
      <c r="F211" s="182"/>
      <c r="G211" s="182"/>
      <c r="H211" s="182"/>
      <c r="I211" s="182"/>
      <c r="J211" s="182"/>
      <c r="K211" s="182"/>
      <c r="L211" s="182"/>
      <c r="M211" s="182"/>
      <c r="N211" s="182"/>
      <c r="O211" s="182"/>
      <c r="P211" s="182"/>
      <c r="Q211" s="182"/>
    </row>
    <row r="212" spans="1:17" ht="21" x14ac:dyDescent="0.25">
      <c r="A212" s="183" t="s">
        <v>694</v>
      </c>
      <c r="B212" s="183"/>
      <c r="C212" s="183"/>
      <c r="D212" s="183"/>
      <c r="E212" s="183"/>
      <c r="F212" s="183"/>
      <c r="G212" s="183"/>
      <c r="H212" s="183"/>
      <c r="I212" s="183"/>
      <c r="J212" s="183"/>
      <c r="K212" s="183"/>
      <c r="L212" s="183"/>
      <c r="M212" s="183"/>
      <c r="N212" s="183"/>
      <c r="O212" s="183"/>
      <c r="P212" s="183"/>
      <c r="Q212" s="183"/>
    </row>
    <row r="213" spans="1:17" x14ac:dyDescent="0.25">
      <c r="D213" s="175" t="s">
        <v>25</v>
      </c>
      <c r="E213" s="175"/>
      <c r="F213" s="175"/>
      <c r="G213" s="175"/>
      <c r="H213" s="175"/>
      <c r="I213" s="175"/>
      <c r="J213" s="175"/>
      <c r="K213" s="175"/>
      <c r="L213" s="175"/>
      <c r="M213" s="172" t="s">
        <v>33</v>
      </c>
      <c r="N213" s="172"/>
      <c r="O213" s="184" t="str">
        <f>'Start Here'!C$13</f>
        <v>Wharton Police Department</v>
      </c>
      <c r="P213" s="184"/>
      <c r="Q213" s="184"/>
    </row>
    <row r="214" spans="1:17" ht="15" customHeight="1" x14ac:dyDescent="0.25">
      <c r="C214" s="203" t="s">
        <v>32</v>
      </c>
      <c r="D214" s="203"/>
      <c r="E214" s="204"/>
      <c r="F214" s="205" t="s">
        <v>624</v>
      </c>
      <c r="G214" s="203"/>
      <c r="H214" s="204"/>
      <c r="I214" s="206" t="s">
        <v>646</v>
      </c>
      <c r="J214" s="186"/>
      <c r="K214" s="186"/>
      <c r="M214" s="172" t="s">
        <v>34</v>
      </c>
      <c r="N214" s="172"/>
      <c r="O214" s="12">
        <f>'Start Here'!$C$16</f>
        <v>2023</v>
      </c>
    </row>
    <row r="215" spans="1:17" ht="16.5" customHeight="1" x14ac:dyDescent="0.25">
      <c r="A215" s="201" t="s">
        <v>738</v>
      </c>
      <c r="B215" s="201"/>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8" t="s">
        <v>726</v>
      </c>
      <c r="O217" s="189"/>
      <c r="P217" s="190"/>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91"/>
      <c r="O218" s="192"/>
      <c r="P218" s="193"/>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91"/>
      <c r="O219" s="192"/>
      <c r="P219" s="193"/>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91"/>
      <c r="O220" s="192"/>
      <c r="P220" s="193"/>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91"/>
      <c r="O221" s="192"/>
      <c r="P221" s="193"/>
    </row>
    <row r="222" spans="1:17" x14ac:dyDescent="0.25">
      <c r="A222" s="1" t="s">
        <v>686</v>
      </c>
      <c r="B222" s="66"/>
      <c r="C222" s="29">
        <f t="shared" si="53"/>
        <v>2</v>
      </c>
      <c r="D222" s="29">
        <f t="shared" si="53"/>
        <v>0</v>
      </c>
      <c r="E222" s="50">
        <f t="shared" si="53"/>
        <v>0</v>
      </c>
      <c r="F222" s="29">
        <v>0</v>
      </c>
      <c r="G222" s="29">
        <v>1</v>
      </c>
      <c r="H222" s="50">
        <f t="shared" si="54"/>
        <v>0</v>
      </c>
      <c r="I222" s="141" t="str">
        <f t="shared" si="55"/>
        <v/>
      </c>
      <c r="J222" s="141">
        <v>1</v>
      </c>
      <c r="K222" s="141" t="str">
        <f t="shared" si="55"/>
        <v/>
      </c>
      <c r="N222" s="191"/>
      <c r="O222" s="192"/>
      <c r="P222" s="193"/>
    </row>
    <row r="223" spans="1:17" ht="15.75" thickBot="1" x14ac:dyDescent="0.3">
      <c r="A223" s="73"/>
      <c r="B223" s="73"/>
      <c r="C223" s="70">
        <f t="shared" ref="C223:H223" si="56">SUM(C216:C222)</f>
        <v>2</v>
      </c>
      <c r="D223" s="69">
        <f t="shared" si="56"/>
        <v>0</v>
      </c>
      <c r="E223" s="69">
        <f t="shared" si="56"/>
        <v>0</v>
      </c>
      <c r="F223" s="70">
        <f t="shared" si="56"/>
        <v>0</v>
      </c>
      <c r="G223" s="69">
        <f t="shared" si="56"/>
        <v>1</v>
      </c>
      <c r="H223" s="69">
        <f t="shared" si="56"/>
        <v>0</v>
      </c>
      <c r="I223" s="158" t="str">
        <f>IF(F223=0,"",(SUMIFS(OpenedNInitial,OpenedComplaintSource,H$57,OpenedComplaintReceived,"&gt;="&amp;$B$9,OpenedComplaintReceived,"&lt;="&amp;$B$10)/F223))</f>
        <v/>
      </c>
      <c r="J223" s="153">
        <f>IF(G223=0,"",(SUMIFS(OpenedNInitial,OpenedComplaintSource,I$57,OpenedComplaintReceived,"&gt;="&amp;$B$9,OpenedComplaintReceived,"&lt;="&amp;$B$10)/G223))</f>
        <v>0</v>
      </c>
      <c r="K223" s="153" t="str">
        <f>IF(H223=0,"",(SUMIFS(OpenedNInitial,OpenedComplaintSource,J$57,OpenedComplaintReceived,"&gt;="&amp;$B$9,OpenedComplaintReceived,"&lt;="&amp;$B$10)/H223))</f>
        <v/>
      </c>
      <c r="N223" s="194"/>
      <c r="O223" s="195"/>
      <c r="P223" s="196"/>
    </row>
    <row r="224" spans="1:17" x14ac:dyDescent="0.25">
      <c r="O224" s="98"/>
      <c r="P224" s="98"/>
      <c r="Q224" s="98"/>
    </row>
    <row r="225" spans="1:17" ht="21" x14ac:dyDescent="0.25">
      <c r="A225" s="183" t="s">
        <v>695</v>
      </c>
      <c r="B225" s="183"/>
      <c r="C225" s="183"/>
      <c r="D225" s="183"/>
      <c r="E225" s="183"/>
      <c r="F225" s="183"/>
      <c r="G225" s="183"/>
      <c r="H225" s="183"/>
      <c r="I225" s="183"/>
      <c r="J225" s="183"/>
      <c r="K225" s="183"/>
      <c r="L225" s="183"/>
      <c r="M225" s="183"/>
      <c r="N225" s="183"/>
      <c r="O225" s="183"/>
      <c r="P225" s="183"/>
      <c r="Q225" s="183"/>
    </row>
    <row r="226" spans="1:17" x14ac:dyDescent="0.25">
      <c r="C226" s="185" t="s">
        <v>634</v>
      </c>
      <c r="D226" s="175"/>
      <c r="E226" s="176"/>
      <c r="F226" s="185" t="s">
        <v>25</v>
      </c>
      <c r="G226" s="175"/>
      <c r="H226" s="176"/>
      <c r="I226" s="185" t="s">
        <v>614</v>
      </c>
      <c r="J226" s="175"/>
      <c r="K226" s="175"/>
      <c r="L226" s="176"/>
      <c r="M226" s="185" t="s">
        <v>605</v>
      </c>
      <c r="N226" s="175"/>
      <c r="O226" s="175"/>
      <c r="P226" s="175"/>
    </row>
    <row r="227" spans="1:17" ht="32.25" customHeight="1" x14ac:dyDescent="0.25">
      <c r="A227" s="201" t="s">
        <v>738</v>
      </c>
      <c r="B227" s="202"/>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v>1</v>
      </c>
      <c r="D234" s="141">
        <f t="shared" si="58"/>
        <v>0</v>
      </c>
      <c r="E234" s="156">
        <f t="shared" si="59"/>
        <v>0</v>
      </c>
      <c r="F234" s="29">
        <f t="shared" si="60"/>
        <v>0</v>
      </c>
      <c r="G234" s="29">
        <v>1</v>
      </c>
      <c r="H234" s="50">
        <f t="shared" si="60"/>
        <v>0</v>
      </c>
      <c r="I234" s="29">
        <f t="shared" si="61"/>
        <v>0</v>
      </c>
      <c r="J234" s="29">
        <f t="shared" si="61"/>
        <v>0</v>
      </c>
      <c r="K234" s="29">
        <f t="shared" si="61"/>
        <v>0</v>
      </c>
      <c r="L234" s="50">
        <f t="shared" si="61"/>
        <v>0</v>
      </c>
      <c r="M234" s="29">
        <f t="shared" si="62"/>
        <v>0</v>
      </c>
      <c r="N234" s="29">
        <f t="shared" si="62"/>
        <v>0</v>
      </c>
      <c r="O234" s="29">
        <v>1</v>
      </c>
      <c r="P234" s="29">
        <f t="shared" si="63"/>
        <v>0</v>
      </c>
    </row>
    <row r="235" spans="1:17" x14ac:dyDescent="0.25">
      <c r="A235" s="73"/>
      <c r="B235" s="73"/>
      <c r="C235" s="158">
        <f>SUM(C228:C234)</f>
        <v>1</v>
      </c>
      <c r="D235" s="153">
        <f>IF(C235=0, "", SUMPRODUCT(C228:C234,D228:D234) / C235)</f>
        <v>0</v>
      </c>
      <c r="E235" s="153">
        <f t="shared" ref="E235:P235" si="64">SUM(E228:E234)</f>
        <v>0</v>
      </c>
      <c r="F235" s="70">
        <f t="shared" si="64"/>
        <v>0</v>
      </c>
      <c r="G235" s="69">
        <f t="shared" si="64"/>
        <v>1</v>
      </c>
      <c r="H235" s="69">
        <f t="shared" si="64"/>
        <v>0</v>
      </c>
      <c r="I235" s="70">
        <f t="shared" si="64"/>
        <v>0</v>
      </c>
      <c r="J235" s="69">
        <f t="shared" si="64"/>
        <v>0</v>
      </c>
      <c r="K235" s="69">
        <f t="shared" si="64"/>
        <v>0</v>
      </c>
      <c r="L235" s="69">
        <f t="shared" si="64"/>
        <v>0</v>
      </c>
      <c r="M235" s="70">
        <f t="shared" si="64"/>
        <v>0</v>
      </c>
      <c r="N235" s="69">
        <f t="shared" si="64"/>
        <v>0</v>
      </c>
      <c r="O235" s="69">
        <f t="shared" si="64"/>
        <v>1</v>
      </c>
      <c r="P235" s="69">
        <f t="shared" si="64"/>
        <v>0</v>
      </c>
    </row>
    <row r="237" spans="1:17" x14ac:dyDescent="0.25">
      <c r="A237" s="182" t="str">
        <f>$B$8&amp;": Cases Closed, Alleged Criminal Violations"</f>
        <v>2023: Cases Closed, Alleged Criminal Violations</v>
      </c>
      <c r="B237" s="182"/>
      <c r="C237" s="182"/>
      <c r="D237" s="182"/>
      <c r="E237" s="182"/>
      <c r="F237" s="182"/>
      <c r="G237" s="182"/>
      <c r="H237" s="182"/>
      <c r="I237" s="182"/>
      <c r="J237" s="182"/>
      <c r="K237" s="182"/>
      <c r="L237" s="182"/>
      <c r="M237" s="182"/>
      <c r="N237" s="182"/>
      <c r="O237" s="182"/>
      <c r="P237" s="182"/>
      <c r="Q237" s="182"/>
    </row>
    <row r="238" spans="1:17" x14ac:dyDescent="0.25">
      <c r="A238" s="182"/>
      <c r="B238" s="182"/>
      <c r="C238" s="182"/>
      <c r="D238" s="182"/>
      <c r="E238" s="182"/>
      <c r="F238" s="182"/>
      <c r="G238" s="182"/>
      <c r="H238" s="182"/>
      <c r="I238" s="182"/>
      <c r="J238" s="182"/>
      <c r="K238" s="182"/>
      <c r="L238" s="182"/>
      <c r="M238" s="182"/>
      <c r="N238" s="182"/>
      <c r="O238" s="182"/>
      <c r="P238" s="182"/>
      <c r="Q238" s="182"/>
    </row>
    <row r="239" spans="1:17" ht="21" x14ac:dyDescent="0.25">
      <c r="A239" s="183" t="s">
        <v>704</v>
      </c>
      <c r="B239" s="183"/>
      <c r="C239" s="183"/>
      <c r="D239" s="183"/>
      <c r="E239" s="183"/>
      <c r="F239" s="183"/>
      <c r="G239" s="183"/>
      <c r="H239" s="183"/>
      <c r="I239" s="183"/>
      <c r="J239" s="183"/>
      <c r="K239" s="183"/>
      <c r="L239" s="183"/>
      <c r="M239" s="172" t="s">
        <v>33</v>
      </c>
      <c r="N239" s="172"/>
      <c r="O239" s="184" t="str">
        <f>'Start Here'!C$13</f>
        <v>Wharton Police Department</v>
      </c>
      <c r="P239" s="184"/>
      <c r="Q239" s="184"/>
    </row>
    <row r="240" spans="1:17" ht="43.15" customHeight="1" x14ac:dyDescent="0.25">
      <c r="C240" s="65"/>
      <c r="D240" s="200" t="s">
        <v>645</v>
      </c>
      <c r="E240" s="200"/>
      <c r="F240" s="199"/>
      <c r="G240" s="198" t="s">
        <v>635</v>
      </c>
      <c r="H240" s="200"/>
      <c r="I240" s="199"/>
      <c r="J240" s="198" t="s">
        <v>631</v>
      </c>
      <c r="K240" s="200"/>
      <c r="L240" s="200"/>
      <c r="M240" s="172" t="s">
        <v>34</v>
      </c>
      <c r="N240" s="172"/>
      <c r="O240" s="12">
        <f>'Start Here'!$C$16</f>
        <v>2023</v>
      </c>
    </row>
    <row r="241" spans="1:17" x14ac:dyDescent="0.25">
      <c r="D241" s="185" t="s">
        <v>25</v>
      </c>
      <c r="E241" s="175"/>
      <c r="F241" s="176"/>
      <c r="G241" s="185" t="s">
        <v>25</v>
      </c>
      <c r="H241" s="175"/>
      <c r="I241" s="176"/>
      <c r="J241" s="185" t="s">
        <v>25</v>
      </c>
      <c r="K241" s="175"/>
      <c r="L241" s="175"/>
    </row>
    <row r="242" spans="1:17" ht="30" x14ac:dyDescent="0.25">
      <c r="A242" s="186" t="s">
        <v>739</v>
      </c>
      <c r="B242" s="186"/>
      <c r="C242" s="187"/>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8" t="s">
        <v>727</v>
      </c>
      <c r="O244" s="189"/>
      <c r="P244" s="190"/>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91"/>
      <c r="O245" s="192"/>
      <c r="P245" s="193"/>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91"/>
      <c r="O246" s="192"/>
      <c r="P246" s="193"/>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91"/>
      <c r="O247" s="192"/>
      <c r="P247" s="193"/>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91"/>
      <c r="O248" s="192"/>
      <c r="P248" s="193"/>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91"/>
      <c r="O249" s="192"/>
      <c r="P249" s="193"/>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91"/>
      <c r="O250" s="192"/>
      <c r="P250" s="193"/>
      <c r="Q250" s="98"/>
    </row>
    <row r="251" spans="1:17" x14ac:dyDescent="0.25">
      <c r="D251" s="98"/>
      <c r="E251" s="98"/>
      <c r="F251" s="98"/>
      <c r="G251" s="98"/>
      <c r="H251" s="98"/>
      <c r="I251" s="98"/>
      <c r="J251" s="98"/>
      <c r="K251" s="98"/>
      <c r="M251" s="33"/>
      <c r="N251" s="191"/>
      <c r="O251" s="192"/>
      <c r="P251" s="193"/>
      <c r="Q251" s="98"/>
    </row>
    <row r="252" spans="1:17" ht="48" customHeight="1" x14ac:dyDescent="0.25">
      <c r="A252" s="197" t="s">
        <v>740</v>
      </c>
      <c r="B252" s="197"/>
      <c r="C252" s="197"/>
      <c r="D252" s="197"/>
      <c r="E252" s="197"/>
      <c r="F252" s="197"/>
      <c r="G252" s="197"/>
      <c r="H252" s="101"/>
      <c r="N252" s="191"/>
      <c r="O252" s="192"/>
      <c r="P252" s="193"/>
      <c r="Q252" s="98"/>
    </row>
    <row r="253" spans="1:17" ht="47.25" customHeight="1" thickBot="1" x14ac:dyDescent="0.3">
      <c r="A253" s="140"/>
      <c r="B253" s="140"/>
      <c r="C253" s="105"/>
      <c r="D253" s="198" t="s">
        <v>722</v>
      </c>
      <c r="E253" s="199"/>
      <c r="F253" s="200" t="s">
        <v>732</v>
      </c>
      <c r="G253" s="200"/>
      <c r="H253" s="101"/>
      <c r="N253" s="194"/>
      <c r="O253" s="195"/>
      <c r="P253" s="196"/>
      <c r="Q253" s="98"/>
    </row>
    <row r="254" spans="1:17" ht="32.25" customHeight="1" x14ac:dyDescent="0.25">
      <c r="D254" s="177" t="s">
        <v>637</v>
      </c>
      <c r="E254" s="178"/>
      <c r="F254" s="179" t="s">
        <v>637</v>
      </c>
      <c r="G254" s="179"/>
      <c r="H254" s="101"/>
      <c r="N254" s="108"/>
      <c r="O254" s="108"/>
      <c r="P254" s="108"/>
      <c r="Q254" s="98"/>
    </row>
    <row r="255" spans="1:17" ht="45" customHeight="1" x14ac:dyDescent="0.25">
      <c r="A255" s="180" t="s">
        <v>738</v>
      </c>
      <c r="B255" s="180"/>
      <c r="C255" s="181"/>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IF(D261 = 0, "", (SUMIFS(PendingLengthOfCase, PendingStatus,"Closed",PendingMSO, "Criminal violation", PendingCriminalViolation, $A261, PendingInternalDisposition, "Sustained", PendingCloseDate, "&gt;="&amp;$B$9, PendingCloseDate, "&lt;="&amp;$B$10) + SUMIFS(OpenedLengthOfCase, OpenedStatus,"Closed",OpenedMSO, "Criminal violation", OpenedCriminalViolation, $A261, OpenedInternalDisposition, "Sustained", OpenedCloseDate, "&gt;="&amp;$B$9, OpenedCloseDate, "&lt;="&amp;$B$10)) / (D261))</f>
        <v/>
      </c>
      <c r="G261" s="142" t="str">
        <f t="shared" si="71"/>
        <v/>
      </c>
      <c r="H261" s="98"/>
      <c r="Q261" s="98"/>
    </row>
    <row r="262" spans="1:17" x14ac:dyDescent="0.25">
      <c r="A262" s="33" t="s">
        <v>686</v>
      </c>
      <c r="B262" s="33"/>
      <c r="C262" s="65"/>
      <c r="D262" s="49">
        <f t="shared" si="68"/>
        <v>0</v>
      </c>
      <c r="E262" s="65">
        <v>1</v>
      </c>
      <c r="F262" s="141" t="str">
        <f t="shared" si="70"/>
        <v/>
      </c>
      <c r="G262" s="141">
        <v>130</v>
      </c>
      <c r="H262" s="98"/>
      <c r="Q262" s="98"/>
    </row>
    <row r="263" spans="1:17" x14ac:dyDescent="0.25">
      <c r="A263" s="73"/>
      <c r="B263" s="73"/>
      <c r="C263" s="74"/>
      <c r="D263" s="110">
        <f>SUM(D256:D262)</f>
        <v>0</v>
      </c>
      <c r="E263" s="88">
        <f>SUM(E256:E262)</f>
        <v>1</v>
      </c>
      <c r="F263" s="153" t="str">
        <f>IF(D263 = 0, "", SUMPRODUCT(D256:D262,F256:F262) / D263)</f>
        <v/>
      </c>
      <c r="G263" s="153">
        <f>IF(E263 = 0, "", SUMPRODUCT(E256:E262,G256:G262) / E263)</f>
        <v>130</v>
      </c>
      <c r="H263" s="98"/>
      <c r="Q263" s="98"/>
    </row>
    <row r="264" spans="1:17" x14ac:dyDescent="0.25">
      <c r="F264" s="98"/>
      <c r="G264" s="98"/>
      <c r="H264" s="98"/>
      <c r="I264" s="98"/>
      <c r="J264" s="98"/>
      <c r="K264" s="98"/>
      <c r="L264" s="33"/>
      <c r="M264" s="98"/>
      <c r="N264" s="98"/>
      <c r="O264" s="98"/>
      <c r="P264" s="98"/>
      <c r="Q264" s="98"/>
    </row>
    <row r="265" spans="1:17" x14ac:dyDescent="0.25">
      <c r="A265" s="182" t="str">
        <f>$B$8&amp;": Discipline Issued"</f>
        <v>2023: Discipline Issued</v>
      </c>
      <c r="B265" s="182"/>
      <c r="C265" s="182"/>
      <c r="D265" s="182"/>
      <c r="E265" s="182"/>
      <c r="F265" s="182"/>
      <c r="G265" s="182"/>
      <c r="H265" s="182"/>
      <c r="I265" s="182"/>
      <c r="J265" s="182"/>
      <c r="K265" s="182"/>
      <c r="L265" s="182"/>
      <c r="M265" s="182"/>
      <c r="N265" s="182"/>
      <c r="O265" s="182"/>
      <c r="P265" s="182"/>
      <c r="Q265" s="182"/>
    </row>
    <row r="266" spans="1:17" x14ac:dyDescent="0.25">
      <c r="A266" s="182"/>
      <c r="B266" s="182"/>
      <c r="C266" s="182"/>
      <c r="D266" s="182"/>
      <c r="E266" s="182"/>
      <c r="F266" s="182"/>
      <c r="G266" s="182"/>
      <c r="H266" s="182"/>
      <c r="I266" s="182"/>
      <c r="J266" s="182"/>
      <c r="K266" s="182"/>
      <c r="L266" s="182"/>
      <c r="M266" s="182"/>
      <c r="N266" s="182"/>
      <c r="O266" s="182"/>
      <c r="P266" s="182"/>
      <c r="Q266" s="182"/>
    </row>
    <row r="267" spans="1:17" ht="21" customHeight="1" x14ac:dyDescent="0.25">
      <c r="A267" s="183" t="s">
        <v>728</v>
      </c>
      <c r="B267" s="183"/>
      <c r="C267" s="183"/>
      <c r="D267" s="183"/>
      <c r="E267" s="183"/>
      <c r="F267" s="183"/>
      <c r="G267" s="183"/>
      <c r="H267" s="183"/>
      <c r="I267" s="183"/>
      <c r="J267" s="183"/>
      <c r="K267" s="183"/>
      <c r="L267" s="183"/>
      <c r="M267" s="183"/>
      <c r="N267" s="183"/>
      <c r="O267" s="183"/>
      <c r="P267" s="183"/>
      <c r="Q267" s="183"/>
    </row>
    <row r="268" spans="1:17" ht="75" x14ac:dyDescent="0.25">
      <c r="A268" s="173" t="s">
        <v>701</v>
      </c>
      <c r="B268" s="173"/>
      <c r="C268" s="174"/>
      <c r="D268" s="7" t="s">
        <v>662</v>
      </c>
      <c r="E268" s="7" t="s">
        <v>663</v>
      </c>
      <c r="F268" s="7" t="s">
        <v>664</v>
      </c>
      <c r="G268" s="7" t="s">
        <v>665</v>
      </c>
      <c r="H268" s="7" t="s">
        <v>666</v>
      </c>
      <c r="I268" s="7" t="s">
        <v>667</v>
      </c>
      <c r="J268" s="7" t="s">
        <v>668</v>
      </c>
      <c r="K268" s="7" t="s">
        <v>669</v>
      </c>
      <c r="L268" s="80" t="s">
        <v>670</v>
      </c>
      <c r="M268" s="7" t="s">
        <v>702</v>
      </c>
      <c r="N268" s="172" t="s">
        <v>33</v>
      </c>
      <c r="O268" s="172"/>
      <c r="P268" s="184" t="str">
        <f>'Start Here'!C$13</f>
        <v>Wharton Police Department</v>
      </c>
      <c r="Q268" s="184"/>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72" t="s">
        <v>34</v>
      </c>
      <c r="O269" s="172"/>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v>1</v>
      </c>
      <c r="E277">
        <f t="shared" si="72"/>
        <v>0</v>
      </c>
      <c r="F277">
        <v>1</v>
      </c>
      <c r="G277">
        <f t="shared" si="72"/>
        <v>0</v>
      </c>
      <c r="H277">
        <f t="shared" si="72"/>
        <v>0</v>
      </c>
      <c r="I277">
        <f t="shared" si="72"/>
        <v>0</v>
      </c>
      <c r="J277">
        <v>4</v>
      </c>
      <c r="K277">
        <f t="shared" si="72"/>
        <v>0</v>
      </c>
      <c r="L277" s="65">
        <f t="shared" si="72"/>
        <v>0</v>
      </c>
      <c r="M277">
        <f t="shared" si="73"/>
        <v>6</v>
      </c>
    </row>
    <row r="278" spans="1:13" x14ac:dyDescent="0.25">
      <c r="A278" s="28" t="s">
        <v>696</v>
      </c>
      <c r="B278" s="78"/>
      <c r="C278" s="79"/>
      <c r="D278" s="78">
        <f>SUM(D269:D277)</f>
        <v>1</v>
      </c>
      <c r="E278" s="78">
        <f t="shared" ref="E278:L278" si="74">SUM(E269:E277)</f>
        <v>0</v>
      </c>
      <c r="F278" s="78">
        <f t="shared" si="74"/>
        <v>1</v>
      </c>
      <c r="G278" s="78">
        <f t="shared" si="74"/>
        <v>0</v>
      </c>
      <c r="H278" s="78">
        <f t="shared" si="74"/>
        <v>0</v>
      </c>
      <c r="I278" s="78">
        <f t="shared" si="74"/>
        <v>0</v>
      </c>
      <c r="J278" s="78">
        <f t="shared" si="74"/>
        <v>4</v>
      </c>
      <c r="K278" s="78">
        <f t="shared" si="74"/>
        <v>0</v>
      </c>
      <c r="L278" s="79">
        <f t="shared" si="74"/>
        <v>0</v>
      </c>
      <c r="M278" s="82">
        <f t="shared" si="73"/>
        <v>6</v>
      </c>
    </row>
    <row r="280" spans="1:13" x14ac:dyDescent="0.25">
      <c r="A280" s="173" t="s">
        <v>699</v>
      </c>
      <c r="B280" s="173"/>
      <c r="C280" s="174"/>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v>4</v>
      </c>
      <c r="K290">
        <f t="shared" si="75"/>
        <v>0</v>
      </c>
      <c r="L290" s="65">
        <f t="shared" si="75"/>
        <v>0</v>
      </c>
      <c r="M290">
        <f t="shared" si="76"/>
        <v>4</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v>1</v>
      </c>
      <c r="G294">
        <f t="shared" si="75"/>
        <v>0</v>
      </c>
      <c r="H294">
        <f t="shared" si="75"/>
        <v>0</v>
      </c>
      <c r="I294">
        <f t="shared" si="75"/>
        <v>0</v>
      </c>
      <c r="J294">
        <f t="shared" si="75"/>
        <v>0</v>
      </c>
      <c r="K294">
        <f t="shared" si="75"/>
        <v>0</v>
      </c>
      <c r="L294" s="65">
        <f t="shared" si="75"/>
        <v>0</v>
      </c>
      <c r="M294">
        <f t="shared" si="76"/>
        <v>1</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v>1</v>
      </c>
      <c r="E296">
        <f t="shared" si="75"/>
        <v>0</v>
      </c>
      <c r="F296">
        <f t="shared" si="75"/>
        <v>0</v>
      </c>
      <c r="G296">
        <f t="shared" si="75"/>
        <v>0</v>
      </c>
      <c r="H296">
        <f t="shared" si="75"/>
        <v>0</v>
      </c>
      <c r="I296">
        <f t="shared" si="75"/>
        <v>0</v>
      </c>
      <c r="J296">
        <f t="shared" si="75"/>
        <v>0</v>
      </c>
      <c r="K296">
        <f t="shared" si="75"/>
        <v>0</v>
      </c>
      <c r="L296" s="65">
        <f t="shared" si="75"/>
        <v>0</v>
      </c>
      <c r="M296">
        <f t="shared" si="76"/>
        <v>1</v>
      </c>
    </row>
    <row r="297" spans="1:13" x14ac:dyDescent="0.25">
      <c r="A297" s="28" t="s">
        <v>697</v>
      </c>
      <c r="B297" s="78"/>
      <c r="C297" s="79"/>
      <c r="D297" s="78">
        <f>SUM(D281:D296)</f>
        <v>1</v>
      </c>
      <c r="E297" s="78">
        <f t="shared" ref="E297:L297" si="77">SUM(E281:E296)</f>
        <v>0</v>
      </c>
      <c r="F297" s="78">
        <f t="shared" si="77"/>
        <v>1</v>
      </c>
      <c r="G297" s="78">
        <f t="shared" si="77"/>
        <v>0</v>
      </c>
      <c r="H297" s="78">
        <f t="shared" si="77"/>
        <v>0</v>
      </c>
      <c r="I297" s="78">
        <f t="shared" si="77"/>
        <v>0</v>
      </c>
      <c r="J297" s="78">
        <f t="shared" si="77"/>
        <v>4</v>
      </c>
      <c r="K297" s="78">
        <f t="shared" si="77"/>
        <v>0</v>
      </c>
      <c r="L297" s="79">
        <f t="shared" si="77"/>
        <v>0</v>
      </c>
      <c r="M297" s="82">
        <f t="shared" si="76"/>
        <v>6</v>
      </c>
    </row>
    <row r="299" spans="1:13" x14ac:dyDescent="0.25">
      <c r="A299" s="175" t="s">
        <v>700</v>
      </c>
      <c r="B299" s="175"/>
      <c r="C299" s="176"/>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168" t="s">
        <v>749</v>
      </c>
      <c r="C2" s="168"/>
      <c r="D2" s="168"/>
      <c r="E2" s="168"/>
      <c r="F2" s="168"/>
      <c r="G2" s="168"/>
      <c r="H2" s="168"/>
      <c r="I2" s="168"/>
      <c r="J2" s="168"/>
      <c r="K2" s="168"/>
    </row>
    <row r="4" spans="2:11" x14ac:dyDescent="0.25">
      <c r="B4" s="167" t="s">
        <v>748</v>
      </c>
      <c r="C4" s="167"/>
      <c r="D4" s="167"/>
      <c r="E4" s="167"/>
      <c r="F4" s="167"/>
      <c r="G4" s="167"/>
      <c r="H4" s="167"/>
      <c r="I4" s="167"/>
      <c r="J4" s="167"/>
      <c r="K4" s="167"/>
    </row>
    <row r="5" spans="2:11" x14ac:dyDescent="0.25">
      <c r="B5" s="167"/>
      <c r="C5" s="167"/>
      <c r="D5" s="167"/>
      <c r="E5" s="167"/>
      <c r="F5" s="167"/>
      <c r="G5" s="167"/>
      <c r="H5" s="167"/>
      <c r="I5" s="167"/>
      <c r="J5" s="167"/>
      <c r="K5" s="167"/>
    </row>
    <row r="6" spans="2:11" x14ac:dyDescent="0.25">
      <c r="B6" s="167"/>
      <c r="C6" s="167"/>
      <c r="D6" s="167"/>
      <c r="E6" s="167"/>
      <c r="F6" s="167"/>
      <c r="G6" s="167"/>
      <c r="H6" s="167"/>
      <c r="I6" s="167"/>
      <c r="J6" s="167"/>
      <c r="K6" s="167"/>
    </row>
    <row r="7" spans="2:11" x14ac:dyDescent="0.25">
      <c r="B7" s="167"/>
      <c r="C7" s="167"/>
      <c r="D7" s="167"/>
      <c r="E7" s="167"/>
      <c r="F7" s="167"/>
      <c r="G7" s="167"/>
      <c r="H7" s="167"/>
      <c r="I7" s="167"/>
      <c r="J7" s="167"/>
      <c r="K7" s="167"/>
    </row>
    <row r="8" spans="2:11" x14ac:dyDescent="0.25">
      <c r="B8" s="167"/>
      <c r="C8" s="167"/>
      <c r="D8" s="167"/>
      <c r="E8" s="167"/>
      <c r="F8" s="167"/>
      <c r="G8" s="167"/>
      <c r="H8" s="167"/>
      <c r="I8" s="167"/>
      <c r="J8" s="167"/>
      <c r="K8" s="167"/>
    </row>
    <row r="9" spans="2:11" x14ac:dyDescent="0.25">
      <c r="B9" s="167"/>
      <c r="C9" s="167"/>
      <c r="D9" s="167"/>
      <c r="E9" s="167"/>
      <c r="F9" s="167"/>
      <c r="G9" s="167"/>
      <c r="H9" s="167"/>
      <c r="I9" s="167"/>
      <c r="J9" s="167"/>
      <c r="K9" s="167"/>
    </row>
    <row r="10" spans="2:11" x14ac:dyDescent="0.25">
      <c r="B10" s="167"/>
      <c r="C10" s="167"/>
      <c r="D10" s="167"/>
      <c r="E10" s="167"/>
      <c r="F10" s="167"/>
      <c r="G10" s="167"/>
      <c r="H10" s="167"/>
      <c r="I10" s="167"/>
      <c r="J10" s="167"/>
      <c r="K10" s="167"/>
    </row>
    <row r="11" spans="2:11" x14ac:dyDescent="0.25">
      <c r="B11" s="167"/>
      <c r="C11" s="167"/>
      <c r="D11" s="167"/>
      <c r="E11" s="167"/>
      <c r="F11" s="167"/>
      <c r="G11" s="167"/>
      <c r="H11" s="167"/>
      <c r="I11" s="167"/>
      <c r="J11" s="167"/>
      <c r="K11" s="167"/>
    </row>
    <row r="12" spans="2:11" x14ac:dyDescent="0.25">
      <c r="B12" s="167"/>
      <c r="C12" s="167"/>
      <c r="D12" s="167"/>
      <c r="E12" s="167"/>
      <c r="F12" s="167"/>
      <c r="G12" s="167"/>
      <c r="H12" s="167"/>
      <c r="I12" s="167"/>
      <c r="J12" s="167"/>
      <c r="K12" s="167"/>
    </row>
    <row r="13" spans="2:11" x14ac:dyDescent="0.25">
      <c r="B13" s="167"/>
      <c r="C13" s="167"/>
      <c r="D13" s="167"/>
      <c r="E13" s="167"/>
      <c r="F13" s="167"/>
      <c r="G13" s="167"/>
      <c r="H13" s="167"/>
      <c r="I13" s="167"/>
      <c r="J13" s="167"/>
      <c r="K13" s="167"/>
    </row>
    <row r="14" spans="2:11" x14ac:dyDescent="0.25">
      <c r="B14" s="167"/>
      <c r="C14" s="167"/>
      <c r="D14" s="167"/>
      <c r="E14" s="167"/>
      <c r="F14" s="167"/>
      <c r="G14" s="167"/>
      <c r="H14" s="167"/>
      <c r="I14" s="167"/>
      <c r="J14" s="167"/>
      <c r="K14" s="167"/>
    </row>
    <row r="15" spans="2:11" x14ac:dyDescent="0.25">
      <c r="B15" s="167"/>
      <c r="C15" s="167"/>
      <c r="D15" s="167"/>
      <c r="E15" s="167"/>
      <c r="F15" s="167"/>
      <c r="G15" s="167"/>
      <c r="H15" s="167"/>
      <c r="I15" s="167"/>
      <c r="J15" s="167"/>
      <c r="K15" s="167"/>
    </row>
    <row r="16" spans="2:11" x14ac:dyDescent="0.25">
      <c r="B16" s="167"/>
      <c r="C16" s="167"/>
      <c r="D16" s="167"/>
      <c r="E16" s="167"/>
      <c r="F16" s="167"/>
      <c r="G16" s="167"/>
      <c r="H16" s="167"/>
      <c r="I16" s="167"/>
      <c r="J16" s="167"/>
      <c r="K16" s="167"/>
    </row>
    <row r="17" spans="2:11" x14ac:dyDescent="0.25">
      <c r="B17" s="167"/>
      <c r="C17" s="167"/>
      <c r="D17" s="167"/>
      <c r="E17" s="167"/>
      <c r="F17" s="167"/>
      <c r="G17" s="167"/>
      <c r="H17" s="167"/>
      <c r="I17" s="167"/>
      <c r="J17" s="167"/>
      <c r="K17" s="167"/>
    </row>
    <row r="18" spans="2:11" x14ac:dyDescent="0.25">
      <c r="B18" s="167"/>
      <c r="C18" s="167"/>
      <c r="D18" s="167"/>
      <c r="E18" s="167"/>
      <c r="F18" s="167"/>
      <c r="G18" s="167"/>
      <c r="H18" s="167"/>
      <c r="I18" s="167"/>
      <c r="J18" s="167"/>
      <c r="K18" s="167"/>
    </row>
    <row r="19" spans="2:11" x14ac:dyDescent="0.25">
      <c r="B19" s="167"/>
      <c r="C19" s="167"/>
      <c r="D19" s="167"/>
      <c r="E19" s="167"/>
      <c r="F19" s="167"/>
      <c r="G19" s="167"/>
      <c r="H19" s="167"/>
      <c r="I19" s="167"/>
      <c r="J19" s="167"/>
      <c r="K19" s="167"/>
    </row>
    <row r="20" spans="2:11" x14ac:dyDescent="0.25">
      <c r="B20" s="167"/>
      <c r="C20" s="167"/>
      <c r="D20" s="167"/>
      <c r="E20" s="167"/>
      <c r="F20" s="167"/>
      <c r="G20" s="167"/>
      <c r="H20" s="167"/>
      <c r="I20" s="167"/>
      <c r="J20" s="167"/>
      <c r="K20" s="167"/>
    </row>
    <row r="21" spans="2:11" x14ac:dyDescent="0.25">
      <c r="B21" s="167"/>
      <c r="C21" s="167"/>
      <c r="D21" s="167"/>
      <c r="E21" s="167"/>
      <c r="F21" s="167"/>
      <c r="G21" s="167"/>
      <c r="H21" s="167"/>
      <c r="I21" s="167"/>
      <c r="J21" s="167"/>
      <c r="K21" s="167"/>
    </row>
    <row r="22" spans="2:11" x14ac:dyDescent="0.25">
      <c r="B22" s="167"/>
      <c r="C22" s="167"/>
      <c r="D22" s="167"/>
      <c r="E22" s="167"/>
      <c r="F22" s="167"/>
      <c r="G22" s="167"/>
      <c r="H22" s="167"/>
      <c r="I22" s="167"/>
      <c r="J22" s="167"/>
      <c r="K22" s="167"/>
    </row>
    <row r="23" spans="2:11" x14ac:dyDescent="0.25">
      <c r="B23" s="167"/>
      <c r="C23" s="167"/>
      <c r="D23" s="167"/>
      <c r="E23" s="167"/>
      <c r="F23" s="167"/>
      <c r="G23" s="167"/>
      <c r="H23" s="167"/>
      <c r="I23" s="167"/>
      <c r="J23" s="167"/>
      <c r="K23" s="167"/>
    </row>
    <row r="24" spans="2:11" x14ac:dyDescent="0.25">
      <c r="B24" s="167"/>
      <c r="C24" s="167"/>
      <c r="D24" s="167"/>
      <c r="E24" s="167"/>
      <c r="F24" s="167"/>
      <c r="G24" s="167"/>
      <c r="H24" s="167"/>
      <c r="I24" s="167"/>
      <c r="J24" s="167"/>
      <c r="K24" s="167"/>
    </row>
    <row r="25" spans="2:11" x14ac:dyDescent="0.25">
      <c r="B25" s="167"/>
      <c r="C25" s="167"/>
      <c r="D25" s="167"/>
      <c r="E25" s="167"/>
      <c r="F25" s="167"/>
      <c r="G25" s="167"/>
      <c r="H25" s="167"/>
      <c r="I25" s="167"/>
      <c r="J25" s="167"/>
      <c r="K25" s="167"/>
    </row>
    <row r="26" spans="2:11" x14ac:dyDescent="0.25">
      <c r="B26" s="167"/>
      <c r="C26" s="167"/>
      <c r="D26" s="167"/>
      <c r="E26" s="167"/>
      <c r="F26" s="167"/>
      <c r="G26" s="167"/>
      <c r="H26" s="167"/>
      <c r="I26" s="167"/>
      <c r="J26" s="167"/>
      <c r="K26" s="167"/>
    </row>
    <row r="27" spans="2:11" x14ac:dyDescent="0.25">
      <c r="B27" s="167"/>
      <c r="C27" s="167"/>
      <c r="D27" s="167"/>
      <c r="E27" s="167"/>
      <c r="F27" s="167"/>
      <c r="G27" s="167"/>
      <c r="H27" s="167"/>
      <c r="I27" s="167"/>
      <c r="J27" s="167"/>
      <c r="K27" s="167"/>
    </row>
    <row r="28" spans="2:11" x14ac:dyDescent="0.25">
      <c r="B28" s="167"/>
      <c r="C28" s="167"/>
      <c r="D28" s="167"/>
      <c r="E28" s="167"/>
      <c r="F28" s="167"/>
      <c r="G28" s="167"/>
      <c r="H28" s="167"/>
      <c r="I28" s="167"/>
      <c r="J28" s="167"/>
      <c r="K28" s="167"/>
    </row>
    <row r="29" spans="2:11" x14ac:dyDescent="0.25">
      <c r="B29" s="167"/>
      <c r="C29" s="167"/>
      <c r="D29" s="167"/>
      <c r="E29" s="167"/>
      <c r="F29" s="167"/>
      <c r="G29" s="167"/>
      <c r="H29" s="167"/>
      <c r="I29" s="167"/>
      <c r="J29" s="167"/>
      <c r="K29" s="167"/>
    </row>
    <row r="30" spans="2:11" x14ac:dyDescent="0.25">
      <c r="B30" s="167"/>
      <c r="C30" s="167"/>
      <c r="D30" s="167"/>
      <c r="E30" s="167"/>
      <c r="F30" s="167"/>
      <c r="G30" s="167"/>
      <c r="H30" s="167"/>
      <c r="I30" s="167"/>
      <c r="J30" s="167"/>
      <c r="K30" s="167"/>
    </row>
    <row r="31" spans="2:11" x14ac:dyDescent="0.25">
      <c r="B31" s="167"/>
      <c r="C31" s="167"/>
      <c r="D31" s="167"/>
      <c r="E31" s="167"/>
      <c r="F31" s="167"/>
      <c r="G31" s="167"/>
      <c r="H31" s="167"/>
      <c r="I31" s="167"/>
      <c r="J31" s="167"/>
      <c r="K31" s="167"/>
    </row>
    <row r="32" spans="2:11" x14ac:dyDescent="0.25">
      <c r="B32" s="167"/>
      <c r="C32" s="167"/>
      <c r="D32" s="167"/>
      <c r="E32" s="167"/>
      <c r="F32" s="167"/>
      <c r="G32" s="167"/>
      <c r="H32" s="167"/>
      <c r="I32" s="167"/>
      <c r="J32" s="167"/>
      <c r="K32" s="167"/>
    </row>
    <row r="33" spans="2:11" x14ac:dyDescent="0.25">
      <c r="B33" s="167"/>
      <c r="C33" s="167"/>
      <c r="D33" s="167"/>
      <c r="E33" s="167"/>
      <c r="F33" s="167"/>
      <c r="G33" s="167"/>
      <c r="H33" s="167"/>
      <c r="I33" s="167"/>
      <c r="J33" s="167"/>
      <c r="K33" s="167"/>
    </row>
    <row r="34" spans="2:11" x14ac:dyDescent="0.25">
      <c r="B34" s="167"/>
      <c r="C34" s="167"/>
      <c r="D34" s="167"/>
      <c r="E34" s="167"/>
      <c r="F34" s="167"/>
      <c r="G34" s="167"/>
      <c r="H34" s="167"/>
      <c r="I34" s="167"/>
      <c r="J34" s="167"/>
      <c r="K34" s="167"/>
    </row>
    <row r="35" spans="2:11" x14ac:dyDescent="0.25">
      <c r="B35" s="167"/>
      <c r="C35" s="167"/>
      <c r="D35" s="167"/>
      <c r="E35" s="167"/>
      <c r="F35" s="167"/>
      <c r="G35" s="167"/>
      <c r="H35" s="167"/>
      <c r="I35" s="167"/>
      <c r="J35" s="167"/>
      <c r="K35" s="167"/>
    </row>
    <row r="36" spans="2:11" x14ac:dyDescent="0.25">
      <c r="B36" s="167"/>
      <c r="C36" s="167"/>
      <c r="D36" s="167"/>
      <c r="E36" s="167"/>
      <c r="F36" s="167"/>
      <c r="G36" s="167"/>
      <c r="H36" s="167"/>
      <c r="I36" s="167"/>
      <c r="J36" s="167"/>
      <c r="K36" s="167"/>
    </row>
    <row r="37" spans="2:11" x14ac:dyDescent="0.25">
      <c r="B37" s="167"/>
      <c r="C37" s="167"/>
      <c r="D37" s="167"/>
      <c r="E37" s="167"/>
      <c r="F37" s="167"/>
      <c r="G37" s="167"/>
      <c r="H37" s="167"/>
      <c r="I37" s="167"/>
      <c r="J37" s="167"/>
      <c r="K37" s="167"/>
    </row>
    <row r="38" spans="2:11" x14ac:dyDescent="0.25">
      <c r="B38" s="167"/>
      <c r="C38" s="167"/>
      <c r="D38" s="167"/>
      <c r="E38" s="167"/>
      <c r="F38" s="167"/>
      <c r="G38" s="167"/>
      <c r="H38" s="167"/>
      <c r="I38" s="167"/>
      <c r="J38" s="167"/>
      <c r="K38" s="167"/>
    </row>
    <row r="39" spans="2:11" x14ac:dyDescent="0.25">
      <c r="B39" s="167"/>
      <c r="C39" s="167"/>
      <c r="D39" s="167"/>
      <c r="E39" s="167"/>
      <c r="F39" s="167"/>
      <c r="G39" s="167"/>
      <c r="H39" s="167"/>
      <c r="I39" s="167"/>
      <c r="J39" s="167"/>
      <c r="K39" s="167"/>
    </row>
    <row r="40" spans="2:11" x14ac:dyDescent="0.25">
      <c r="B40" s="167"/>
      <c r="C40" s="167"/>
      <c r="D40" s="167"/>
      <c r="E40" s="167"/>
      <c r="F40" s="167"/>
      <c r="G40" s="167"/>
      <c r="H40" s="167"/>
      <c r="I40" s="167"/>
      <c r="J40" s="167"/>
      <c r="K40" s="167"/>
    </row>
    <row r="41" spans="2:11" x14ac:dyDescent="0.25">
      <c r="B41" s="167"/>
      <c r="C41" s="167"/>
      <c r="D41" s="167"/>
      <c r="E41" s="167"/>
      <c r="F41" s="167"/>
      <c r="G41" s="167"/>
      <c r="H41" s="167"/>
      <c r="I41" s="167"/>
      <c r="J41" s="167"/>
      <c r="K41" s="167"/>
    </row>
    <row r="42" spans="2:11" x14ac:dyDescent="0.25">
      <c r="B42" s="167"/>
      <c r="C42" s="167"/>
      <c r="D42" s="167"/>
      <c r="E42" s="167"/>
      <c r="F42" s="167"/>
      <c r="G42" s="167"/>
      <c r="H42" s="167"/>
      <c r="I42" s="167"/>
      <c r="J42" s="167"/>
      <c r="K42" s="167"/>
    </row>
    <row r="43" spans="2:11" x14ac:dyDescent="0.25">
      <c r="B43" s="167"/>
      <c r="C43" s="167"/>
      <c r="D43" s="167"/>
      <c r="E43" s="167"/>
      <c r="F43" s="167"/>
      <c r="G43" s="167"/>
      <c r="H43" s="167"/>
      <c r="I43" s="167"/>
      <c r="J43" s="167"/>
      <c r="K43" s="167"/>
    </row>
    <row r="44" spans="2:11" x14ac:dyDescent="0.25">
      <c r="B44" s="167"/>
      <c r="C44" s="167"/>
      <c r="D44" s="167"/>
      <c r="E44" s="167"/>
      <c r="F44" s="167"/>
      <c r="G44" s="167"/>
      <c r="H44" s="167"/>
      <c r="I44" s="167"/>
      <c r="J44" s="167"/>
      <c r="K44" s="167"/>
    </row>
    <row r="45" spans="2:11" x14ac:dyDescent="0.25">
      <c r="B45" s="167"/>
      <c r="C45" s="167"/>
      <c r="D45" s="167"/>
      <c r="E45" s="167"/>
      <c r="F45" s="167"/>
      <c r="G45" s="167"/>
      <c r="H45" s="167"/>
      <c r="I45" s="167"/>
      <c r="J45" s="167"/>
      <c r="K45" s="167"/>
    </row>
    <row r="46" spans="2:11" x14ac:dyDescent="0.25">
      <c r="B46" s="167"/>
      <c r="C46" s="167"/>
      <c r="D46" s="167"/>
      <c r="E46" s="167"/>
      <c r="F46" s="167"/>
      <c r="G46" s="167"/>
      <c r="H46" s="167"/>
      <c r="I46" s="167"/>
      <c r="J46" s="167"/>
      <c r="K46" s="167"/>
    </row>
    <row r="47" spans="2:11" x14ac:dyDescent="0.25">
      <c r="B47" s="167"/>
      <c r="C47" s="167"/>
      <c r="D47" s="167"/>
      <c r="E47" s="167"/>
      <c r="F47" s="167"/>
      <c r="G47" s="167"/>
      <c r="H47" s="167"/>
      <c r="I47" s="167"/>
      <c r="J47" s="167"/>
      <c r="K47" s="167"/>
    </row>
    <row r="48" spans="2:11" x14ac:dyDescent="0.25">
      <c r="B48" s="167"/>
      <c r="C48" s="167"/>
      <c r="D48" s="167"/>
      <c r="E48" s="167"/>
      <c r="F48" s="167"/>
      <c r="G48" s="167"/>
      <c r="H48" s="167"/>
      <c r="I48" s="167"/>
      <c r="J48" s="167"/>
      <c r="K48" s="167"/>
    </row>
    <row r="49" spans="2:11" x14ac:dyDescent="0.25">
      <c r="B49" s="167"/>
      <c r="C49" s="167"/>
      <c r="D49" s="167"/>
      <c r="E49" s="167"/>
      <c r="F49" s="167"/>
      <c r="G49" s="167"/>
      <c r="H49" s="167"/>
      <c r="I49" s="167"/>
      <c r="J49" s="167"/>
      <c r="K49" s="167"/>
    </row>
    <row r="50" spans="2:11" x14ac:dyDescent="0.25">
      <c r="B50" s="167"/>
      <c r="C50" s="167"/>
      <c r="D50" s="167"/>
      <c r="E50" s="167"/>
      <c r="F50" s="167"/>
      <c r="G50" s="167"/>
      <c r="H50" s="167"/>
      <c r="I50" s="167"/>
      <c r="J50" s="167"/>
      <c r="K50" s="167"/>
    </row>
    <row r="51" spans="2:11" x14ac:dyDescent="0.25">
      <c r="B51" s="167"/>
      <c r="C51" s="167"/>
      <c r="D51" s="167"/>
      <c r="E51" s="167"/>
      <c r="F51" s="167"/>
      <c r="G51" s="167"/>
      <c r="H51" s="167"/>
      <c r="I51" s="167"/>
      <c r="J51" s="167"/>
      <c r="K51" s="167"/>
    </row>
    <row r="52" spans="2:11" x14ac:dyDescent="0.25">
      <c r="B52" s="167"/>
      <c r="C52" s="167"/>
      <c r="D52" s="167"/>
      <c r="E52" s="167"/>
      <c r="F52" s="167"/>
      <c r="G52" s="167"/>
      <c r="H52" s="167"/>
      <c r="I52" s="167"/>
      <c r="J52" s="167"/>
      <c r="K52" s="167"/>
    </row>
    <row r="53" spans="2:11" x14ac:dyDescent="0.25">
      <c r="B53" s="167"/>
      <c r="C53" s="167"/>
      <c r="D53" s="167"/>
      <c r="E53" s="167"/>
      <c r="F53" s="167"/>
      <c r="G53" s="167"/>
      <c r="H53" s="167"/>
      <c r="I53" s="167"/>
      <c r="J53" s="167"/>
      <c r="K53" s="167"/>
    </row>
    <row r="54" spans="2:11" x14ac:dyDescent="0.25">
      <c r="B54" s="167"/>
      <c r="C54" s="167"/>
      <c r="D54" s="167"/>
      <c r="E54" s="167"/>
      <c r="F54" s="167"/>
      <c r="G54" s="167"/>
      <c r="H54" s="167"/>
      <c r="I54" s="167"/>
      <c r="J54" s="167"/>
      <c r="K54" s="167"/>
    </row>
    <row r="55" spans="2:11" x14ac:dyDescent="0.25">
      <c r="B55" s="167"/>
      <c r="C55" s="167"/>
      <c r="D55" s="167"/>
      <c r="E55" s="167"/>
      <c r="F55" s="167"/>
      <c r="G55" s="167"/>
      <c r="H55" s="167"/>
      <c r="I55" s="167"/>
      <c r="J55" s="167"/>
      <c r="K55" s="167"/>
    </row>
    <row r="56" spans="2:11" x14ac:dyDescent="0.25">
      <c r="B56" s="167"/>
      <c r="C56" s="167"/>
      <c r="D56" s="167"/>
      <c r="E56" s="167"/>
      <c r="F56" s="167"/>
      <c r="G56" s="167"/>
      <c r="H56" s="167"/>
      <c r="I56" s="167"/>
      <c r="J56" s="167"/>
      <c r="K56" s="167"/>
    </row>
    <row r="57" spans="2:11" x14ac:dyDescent="0.25">
      <c r="B57" s="167"/>
      <c r="C57" s="167"/>
      <c r="D57" s="167"/>
      <c r="E57" s="167"/>
      <c r="F57" s="167"/>
      <c r="G57" s="167"/>
      <c r="H57" s="167"/>
      <c r="I57" s="167"/>
      <c r="J57" s="167"/>
      <c r="K57" s="167"/>
    </row>
    <row r="58" spans="2:11" x14ac:dyDescent="0.25">
      <c r="B58" s="167"/>
      <c r="C58" s="167"/>
      <c r="D58" s="167"/>
      <c r="E58" s="167"/>
      <c r="F58" s="167"/>
      <c r="G58" s="167"/>
      <c r="H58" s="167"/>
      <c r="I58" s="167"/>
      <c r="J58" s="167"/>
      <c r="K58" s="167"/>
    </row>
    <row r="59" spans="2:11" x14ac:dyDescent="0.25">
      <c r="B59" s="167"/>
      <c r="C59" s="167"/>
      <c r="D59" s="167"/>
      <c r="E59" s="167"/>
      <c r="F59" s="167"/>
      <c r="G59" s="167"/>
      <c r="H59" s="167"/>
      <c r="I59" s="167"/>
      <c r="J59" s="167"/>
      <c r="K59" s="167"/>
    </row>
    <row r="60" spans="2:11" x14ac:dyDescent="0.25">
      <c r="B60" s="167"/>
      <c r="C60" s="167"/>
      <c r="D60" s="167"/>
      <c r="E60" s="167"/>
      <c r="F60" s="167"/>
      <c r="G60" s="167"/>
      <c r="H60" s="167"/>
      <c r="I60" s="167"/>
      <c r="J60" s="167"/>
      <c r="K60" s="167"/>
    </row>
    <row r="61" spans="2:11" x14ac:dyDescent="0.25">
      <c r="B61" s="167"/>
      <c r="C61" s="167"/>
      <c r="D61" s="167"/>
      <c r="E61" s="167"/>
      <c r="F61" s="167"/>
      <c r="G61" s="167"/>
      <c r="H61" s="167"/>
      <c r="I61" s="167"/>
      <c r="J61" s="167"/>
      <c r="K61" s="167"/>
    </row>
    <row r="62" spans="2:11" x14ac:dyDescent="0.25">
      <c r="B62" s="167"/>
      <c r="C62" s="167"/>
      <c r="D62" s="167"/>
      <c r="E62" s="167"/>
      <c r="F62" s="167"/>
      <c r="G62" s="167"/>
      <c r="H62" s="167"/>
      <c r="I62" s="167"/>
      <c r="J62" s="167"/>
      <c r="K62" s="167"/>
    </row>
    <row r="63" spans="2:11" x14ac:dyDescent="0.25">
      <c r="B63" s="167"/>
      <c r="C63" s="167"/>
      <c r="D63" s="167"/>
      <c r="E63" s="167"/>
      <c r="F63" s="167"/>
      <c r="G63" s="167"/>
      <c r="H63" s="167"/>
      <c r="I63" s="167"/>
      <c r="J63" s="167"/>
      <c r="K63" s="167"/>
    </row>
    <row r="64" spans="2:11" x14ac:dyDescent="0.25">
      <c r="B64" s="167"/>
      <c r="C64" s="167"/>
      <c r="D64" s="167"/>
      <c r="E64" s="167"/>
      <c r="F64" s="167"/>
      <c r="G64" s="167"/>
      <c r="H64" s="167"/>
      <c r="I64" s="167"/>
      <c r="J64" s="167"/>
      <c r="K64" s="167"/>
    </row>
    <row r="65" spans="2:11" x14ac:dyDescent="0.25">
      <c r="B65" s="167"/>
      <c r="C65" s="167"/>
      <c r="D65" s="167"/>
      <c r="E65" s="167"/>
      <c r="F65" s="167"/>
      <c r="G65" s="167"/>
      <c r="H65" s="167"/>
      <c r="I65" s="167"/>
      <c r="J65" s="167"/>
      <c r="K65" s="16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751</v>
      </c>
      <c r="C1" t="s">
        <v>659</v>
      </c>
      <c r="D1" t="s">
        <v>662</v>
      </c>
      <c r="E1" t="s">
        <v>11</v>
      </c>
      <c r="F1" t="s">
        <v>20</v>
      </c>
      <c r="G1" t="s">
        <v>23</v>
      </c>
      <c r="H1" t="s">
        <v>26</v>
      </c>
      <c r="I1" t="s">
        <v>16</v>
      </c>
      <c r="K1" t="s">
        <v>11</v>
      </c>
      <c r="L1" t="s">
        <v>36</v>
      </c>
    </row>
    <row r="2" spans="1:12" x14ac:dyDescent="0.25">
      <c r="A2" t="s">
        <v>651</v>
      </c>
      <c r="B2" t="s">
        <v>682</v>
      </c>
      <c r="C2" t="s">
        <v>649</v>
      </c>
      <c r="D2" t="s">
        <v>663</v>
      </c>
      <c r="E2" t="s">
        <v>10</v>
      </c>
      <c r="F2" t="s">
        <v>21</v>
      </c>
      <c r="G2" t="s">
        <v>12</v>
      </c>
      <c r="H2" t="s">
        <v>27</v>
      </c>
      <c r="I2" t="s">
        <v>17</v>
      </c>
      <c r="K2" t="s">
        <v>10</v>
      </c>
      <c r="L2" t="s">
        <v>37</v>
      </c>
    </row>
    <row r="3" spans="1:12" x14ac:dyDescent="0.25">
      <c r="A3" t="s">
        <v>652</v>
      </c>
      <c r="B3" t="s">
        <v>683</v>
      </c>
      <c r="C3" t="s">
        <v>650</v>
      </c>
      <c r="D3" t="s">
        <v>664</v>
      </c>
      <c r="E3" t="s">
        <v>9</v>
      </c>
      <c r="G3" t="s">
        <v>13</v>
      </c>
      <c r="H3" t="s">
        <v>28</v>
      </c>
      <c r="I3" t="s">
        <v>18</v>
      </c>
      <c r="K3" t="s">
        <v>9</v>
      </c>
      <c r="L3" t="s">
        <v>38</v>
      </c>
    </row>
    <row r="4" spans="1:12" x14ac:dyDescent="0.25">
      <c r="A4" t="s">
        <v>653</v>
      </c>
      <c r="B4" t="s">
        <v>684</v>
      </c>
      <c r="C4" t="s">
        <v>753</v>
      </c>
      <c r="D4" t="s">
        <v>665</v>
      </c>
      <c r="E4" t="s">
        <v>8</v>
      </c>
      <c r="G4" t="s">
        <v>14</v>
      </c>
      <c r="I4" t="s">
        <v>19</v>
      </c>
      <c r="K4" t="s">
        <v>8</v>
      </c>
      <c r="L4" t="s">
        <v>39</v>
      </c>
    </row>
    <row r="5" spans="1:12" x14ac:dyDescent="0.25">
      <c r="A5" t="s">
        <v>654</v>
      </c>
      <c r="B5" t="s">
        <v>648</v>
      </c>
      <c r="C5" t="s">
        <v>660</v>
      </c>
      <c r="D5" t="s">
        <v>666</v>
      </c>
      <c r="E5" t="s">
        <v>7</v>
      </c>
      <c r="G5" t="s">
        <v>15</v>
      </c>
      <c r="I5" t="s">
        <v>24</v>
      </c>
      <c r="K5" t="s">
        <v>7</v>
      </c>
      <c r="L5" t="s">
        <v>40</v>
      </c>
    </row>
    <row r="6" spans="1:12" x14ac:dyDescent="0.25">
      <c r="A6" t="s">
        <v>655</v>
      </c>
      <c r="B6" t="s">
        <v>685</v>
      </c>
      <c r="C6" t="s">
        <v>688</v>
      </c>
      <c r="D6" t="s">
        <v>667</v>
      </c>
      <c r="E6" t="s">
        <v>6</v>
      </c>
      <c r="K6" t="s">
        <v>6</v>
      </c>
      <c r="L6" t="s">
        <v>41</v>
      </c>
    </row>
    <row r="7" spans="1:12" x14ac:dyDescent="0.25">
      <c r="A7" t="s">
        <v>656</v>
      </c>
      <c r="B7" t="s">
        <v>752</v>
      </c>
      <c r="C7" t="s">
        <v>689</v>
      </c>
      <c r="D7" t="s">
        <v>692</v>
      </c>
      <c r="E7" t="s">
        <v>5</v>
      </c>
      <c r="K7" t="s">
        <v>5</v>
      </c>
      <c r="L7" t="s">
        <v>42</v>
      </c>
    </row>
    <row r="8" spans="1:12" x14ac:dyDescent="0.25">
      <c r="A8" t="s">
        <v>5</v>
      </c>
      <c r="B8" t="s">
        <v>686</v>
      </c>
      <c r="C8" t="s">
        <v>661</v>
      </c>
      <c r="D8" t="s">
        <v>668</v>
      </c>
      <c r="E8" t="s">
        <v>4</v>
      </c>
      <c r="K8" t="s">
        <v>4</v>
      </c>
      <c r="L8" t="s">
        <v>43</v>
      </c>
    </row>
    <row r="9" spans="1:12" x14ac:dyDescent="0.25">
      <c r="A9" t="s">
        <v>657</v>
      </c>
      <c r="C9" t="s">
        <v>671</v>
      </c>
      <c r="D9" t="s">
        <v>669</v>
      </c>
      <c r="E9" t="s">
        <v>647</v>
      </c>
      <c r="K9" t="s">
        <v>3</v>
      </c>
      <c r="L9" t="s">
        <v>44</v>
      </c>
    </row>
    <row r="10" spans="1:12" x14ac:dyDescent="0.25">
      <c r="C10" t="s">
        <v>675</v>
      </c>
      <c r="D10" t="s">
        <v>670</v>
      </c>
      <c r="G10" s="26">
        <f ca="1">(YEAR(TODAY())-1)</f>
        <v>2023</v>
      </c>
      <c r="L10" t="s">
        <v>45</v>
      </c>
    </row>
    <row r="11" spans="1:12" x14ac:dyDescent="0.25">
      <c r="C11" t="s">
        <v>676</v>
      </c>
      <c r="F11" t="s">
        <v>628</v>
      </c>
      <c r="L11" t="s">
        <v>46</v>
      </c>
    </row>
    <row r="12" spans="1:12" x14ac:dyDescent="0.25">
      <c r="C12" t="s">
        <v>690</v>
      </c>
      <c r="F12" t="s">
        <v>629</v>
      </c>
      <c r="L12" t="s">
        <v>586</v>
      </c>
    </row>
    <row r="13" spans="1:12" x14ac:dyDescent="0.25">
      <c r="C13" t="s">
        <v>677</v>
      </c>
      <c r="L13" t="s">
        <v>47</v>
      </c>
    </row>
    <row r="14" spans="1:12" x14ac:dyDescent="0.25">
      <c r="C14" t="s">
        <v>691</v>
      </c>
      <c r="L14" t="s">
        <v>48</v>
      </c>
    </row>
    <row r="15" spans="1:12" x14ac:dyDescent="0.25">
      <c r="C15" t="s">
        <v>678</v>
      </c>
      <c r="L15" t="s">
        <v>49</v>
      </c>
    </row>
    <row r="16" spans="1:12" x14ac:dyDescent="0.25">
      <c r="C16" t="s">
        <v>679</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Normal="100" workbookViewId="0">
      <pane ySplit="4" topLeftCell="A5" activePane="bottomLeft" state="frozen"/>
      <selection pane="bottomLeft" activeCell="V6" sqref="V6"/>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70" t="s">
        <v>747</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row>
    <row r="2" spans="1:30" ht="78.599999999999994" customHeight="1" x14ac:dyDescent="0.25">
      <c r="A2" s="171" t="s">
        <v>746</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ht="26.25" x14ac:dyDescent="0.25">
      <c r="A3" s="169" t="s">
        <v>680</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25">
      <c r="A5" s="6" t="s">
        <v>756</v>
      </c>
      <c r="B5" s="10">
        <v>43194</v>
      </c>
      <c r="C5" s="6" t="s">
        <v>758</v>
      </c>
      <c r="D5" s="6" t="s">
        <v>759</v>
      </c>
      <c r="E5" s="6" t="s">
        <v>760</v>
      </c>
      <c r="F5" s="6" t="s">
        <v>28</v>
      </c>
      <c r="G5" s="6"/>
      <c r="H5" s="6"/>
      <c r="I5" s="6">
        <v>1</v>
      </c>
      <c r="J5" s="6" t="s">
        <v>658</v>
      </c>
      <c r="K5" s="6" t="s">
        <v>686</v>
      </c>
      <c r="L5" s="6" t="s">
        <v>753</v>
      </c>
      <c r="M5" s="21"/>
      <c r="N5" s="6"/>
      <c r="O5" s="21"/>
      <c r="P5" s="10"/>
      <c r="Q5" s="15">
        <f t="shared" ref="Q5:Q68" ca="1" si="0">IF(B5&gt;1/1/1900, (IF(R5="Closed",(DATEDIF(B5,P5,"d"))-(DATEDIF(M5,O5,"d")),IF(OR(R5="Pending",ISBLANK(P5)),TODAY()-B5))),"-")</f>
        <v>2115</v>
      </c>
      <c r="R5" s="6" t="s">
        <v>20</v>
      </c>
      <c r="S5" s="6"/>
      <c r="T5" s="6"/>
      <c r="U5" s="6"/>
      <c r="V5" s="6"/>
      <c r="W5" s="6" t="str">
        <f t="shared" ref="W5:W68" si="1">IF(OR(ISBLANK(J5),ISBLANK(V5)),"-",(IF(J5=V5,"Yes","No")))</f>
        <v>-</v>
      </c>
      <c r="X5" s="6"/>
      <c r="Y5" s="6"/>
      <c r="Z5" s="6"/>
      <c r="AA5" s="6"/>
      <c r="AB5" s="6"/>
      <c r="AC5" s="6"/>
    </row>
    <row r="6" spans="1:30" x14ac:dyDescent="0.25">
      <c r="A6" t="s">
        <v>757</v>
      </c>
      <c r="B6" s="11">
        <v>43261</v>
      </c>
      <c r="C6" t="s">
        <v>758</v>
      </c>
      <c r="D6" t="s">
        <v>759</v>
      </c>
      <c r="E6" t="s">
        <v>760</v>
      </c>
      <c r="F6" t="s">
        <v>28</v>
      </c>
      <c r="I6">
        <v>1</v>
      </c>
      <c r="J6" t="s">
        <v>658</v>
      </c>
      <c r="K6" t="s">
        <v>686</v>
      </c>
      <c r="L6" t="s">
        <v>679</v>
      </c>
      <c r="M6" s="20"/>
      <c r="O6" s="20"/>
      <c r="Q6" s="12">
        <f t="shared" ca="1" si="0"/>
        <v>2048</v>
      </c>
      <c r="R6" t="s">
        <v>20</v>
      </c>
      <c r="W6" t="str">
        <f t="shared" si="1"/>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t="str">
        <f t="shared" si="1"/>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t="str">
        <f t="shared" si="1"/>
        <v>-</v>
      </c>
      <c r="X13" s="6"/>
      <c r="Y13" s="6"/>
      <c r="Z13" s="6"/>
      <c r="AA13" s="6"/>
      <c r="AB13" s="6"/>
      <c r="AC13" s="6"/>
    </row>
    <row r="14" spans="1:30" x14ac:dyDescent="0.25">
      <c r="Q14" s="12" t="str">
        <f t="shared" ca="1" si="0"/>
        <v>-</v>
      </c>
      <c r="W14" t="str">
        <f t="shared" si="1"/>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t="str">
        <f t="shared" si="1"/>
        <v>-</v>
      </c>
      <c r="X15" s="6"/>
      <c r="Y15" s="6"/>
      <c r="Z15" s="6"/>
      <c r="AA15" s="6"/>
      <c r="AB15" s="6"/>
      <c r="AC15" s="6"/>
    </row>
    <row r="16" spans="1:30" x14ac:dyDescent="0.25">
      <c r="Q16" s="12" t="str">
        <f t="shared" ca="1" si="0"/>
        <v>-</v>
      </c>
      <c r="W16" t="str">
        <f t="shared" si="1"/>
        <v>-</v>
      </c>
    </row>
    <row r="17" spans="1:29" x14ac:dyDescent="0.25">
      <c r="A17" s="6"/>
      <c r="B17" s="10"/>
      <c r="C17" s="6"/>
      <c r="D17" s="6"/>
      <c r="E17" s="6"/>
      <c r="F17" s="6"/>
      <c r="G17" s="6"/>
      <c r="H17" s="6"/>
      <c r="I17" s="6"/>
      <c r="J17" s="6"/>
      <c r="K17" s="6"/>
      <c r="L17" s="6"/>
      <c r="M17" s="6"/>
      <c r="N17" s="6"/>
      <c r="O17" s="6"/>
      <c r="P17" s="10"/>
      <c r="Q17" s="15" t="str">
        <f t="shared" ca="1" si="0"/>
        <v>-</v>
      </c>
      <c r="R17" s="6"/>
      <c r="S17" s="6"/>
      <c r="T17" s="6"/>
      <c r="U17" s="6"/>
      <c r="V17" s="6"/>
      <c r="W17" s="6" t="str">
        <f t="shared" si="1"/>
        <v>-</v>
      </c>
      <c r="X17" s="6"/>
      <c r="Y17" s="6"/>
      <c r="Z17" s="6"/>
      <c r="AA17" s="6"/>
      <c r="AB17" s="6"/>
      <c r="AC17" s="6"/>
    </row>
    <row r="18" spans="1:29" x14ac:dyDescent="0.25">
      <c r="Q18" s="12" t="str">
        <f t="shared" ca="1" si="0"/>
        <v>-</v>
      </c>
      <c r="W18" t="str">
        <f t="shared" si="1"/>
        <v>-</v>
      </c>
    </row>
    <row r="19" spans="1:29" x14ac:dyDescent="0.25">
      <c r="A19" s="6"/>
      <c r="B19" s="10"/>
      <c r="C19" s="6"/>
      <c r="D19" s="6"/>
      <c r="E19" s="6"/>
      <c r="F19" s="6"/>
      <c r="G19" s="6"/>
      <c r="H19" s="6"/>
      <c r="I19" s="6"/>
      <c r="J19" s="6"/>
      <c r="K19" s="6"/>
      <c r="L19" s="6"/>
      <c r="M19" s="6"/>
      <c r="N19" s="6"/>
      <c r="O19" s="6"/>
      <c r="P19" s="10"/>
      <c r="Q19" s="15" t="str">
        <f t="shared" ca="1" si="0"/>
        <v>-</v>
      </c>
      <c r="R19" s="6"/>
      <c r="S19" s="6"/>
      <c r="T19" s="6"/>
      <c r="U19" s="6"/>
      <c r="V19" s="6"/>
      <c r="W19" s="6" t="str">
        <f t="shared" si="1"/>
        <v>-</v>
      </c>
      <c r="X19" s="6"/>
      <c r="Y19" s="6"/>
      <c r="Z19" s="6"/>
      <c r="AA19" s="6"/>
      <c r="AB19" s="6"/>
      <c r="AC19" s="6"/>
    </row>
    <row r="20" spans="1:29" x14ac:dyDescent="0.25">
      <c r="Q20" s="12" t="str">
        <f t="shared" ca="1" si="0"/>
        <v>-</v>
      </c>
      <c r="W20" t="str">
        <f t="shared" si="1"/>
        <v>-</v>
      </c>
    </row>
    <row r="21" spans="1:29" x14ac:dyDescent="0.25">
      <c r="A21" s="6"/>
      <c r="B21" s="10"/>
      <c r="C21" s="6"/>
      <c r="D21" s="6"/>
      <c r="E21" s="6"/>
      <c r="F21" s="6"/>
      <c r="G21" s="6"/>
      <c r="H21" s="6"/>
      <c r="I21" s="17"/>
      <c r="J21" s="6"/>
      <c r="K21" s="6"/>
      <c r="L21" s="6"/>
      <c r="M21" s="6"/>
      <c r="N21" s="6"/>
      <c r="O21" s="6"/>
      <c r="P21" s="10"/>
      <c r="Q21" s="15" t="str">
        <f t="shared" ca="1" si="0"/>
        <v>-</v>
      </c>
      <c r="R21" s="6"/>
      <c r="S21" s="6"/>
      <c r="T21" s="6"/>
      <c r="U21" s="17"/>
      <c r="V21" s="6"/>
      <c r="W21" s="17" t="str">
        <f t="shared" si="1"/>
        <v>-</v>
      </c>
      <c r="X21" s="17"/>
      <c r="Y21" s="17"/>
      <c r="Z21" s="6"/>
      <c r="AA21" s="6"/>
      <c r="AB21" s="6"/>
      <c r="AC21" s="6"/>
    </row>
    <row r="22" spans="1:29" x14ac:dyDescent="0.25">
      <c r="Q22" s="12" t="str">
        <f t="shared" ca="1" si="0"/>
        <v>-</v>
      </c>
      <c r="W22" t="str">
        <f t="shared" si="1"/>
        <v>-</v>
      </c>
    </row>
    <row r="23" spans="1:29" x14ac:dyDescent="0.25">
      <c r="A23" s="6"/>
      <c r="B23" s="10"/>
      <c r="C23" s="6"/>
      <c r="D23" s="6"/>
      <c r="E23" s="6"/>
      <c r="F23" s="6"/>
      <c r="G23" s="6"/>
      <c r="H23" s="6"/>
      <c r="I23" s="17"/>
      <c r="J23" s="6"/>
      <c r="K23" s="6"/>
      <c r="L23" s="6"/>
      <c r="M23" s="6"/>
      <c r="N23" s="6"/>
      <c r="O23" s="6"/>
      <c r="P23" s="10"/>
      <c r="Q23" s="15" t="str">
        <f t="shared" ca="1" si="0"/>
        <v>-</v>
      </c>
      <c r="R23" s="6"/>
      <c r="S23" s="6"/>
      <c r="T23" s="6"/>
      <c r="U23" s="17"/>
      <c r="V23" s="6"/>
      <c r="W23" s="17" t="str">
        <f t="shared" si="1"/>
        <v>-</v>
      </c>
      <c r="X23" s="17"/>
      <c r="Y23" s="17"/>
      <c r="Z23" s="6"/>
      <c r="AA23" s="6"/>
      <c r="AB23" s="6"/>
      <c r="AC23" s="6"/>
    </row>
    <row r="24" spans="1:29" x14ac:dyDescent="0.25">
      <c r="Q24" s="12" t="str">
        <f t="shared" ca="1" si="0"/>
        <v>-</v>
      </c>
      <c r="W24" t="str">
        <f t="shared" si="1"/>
        <v>-</v>
      </c>
    </row>
    <row r="25" spans="1:29" x14ac:dyDescent="0.25">
      <c r="A25" s="6"/>
      <c r="B25" s="10"/>
      <c r="C25" s="6"/>
      <c r="D25" s="6"/>
      <c r="E25" s="6"/>
      <c r="F25" s="6"/>
      <c r="G25" s="6"/>
      <c r="H25" s="6"/>
      <c r="I25" s="6"/>
      <c r="J25" s="6"/>
      <c r="K25" s="6"/>
      <c r="L25" s="6"/>
      <c r="M25" s="6"/>
      <c r="N25" s="6"/>
      <c r="O25" s="6"/>
      <c r="P25" s="10"/>
      <c r="Q25" s="15" t="str">
        <f t="shared" ca="1" si="0"/>
        <v>-</v>
      </c>
      <c r="R25" s="6"/>
      <c r="S25" s="6"/>
      <c r="T25" s="6"/>
      <c r="U25" s="6"/>
      <c r="V25" s="6"/>
      <c r="W25" s="6" t="str">
        <f t="shared" si="1"/>
        <v>-</v>
      </c>
      <c r="X25" s="6"/>
      <c r="Y25" s="6"/>
      <c r="Z25" s="6"/>
      <c r="AA25" s="6"/>
      <c r="AB25" s="6"/>
      <c r="AC25" s="6"/>
    </row>
    <row r="26" spans="1:29" x14ac:dyDescent="0.25">
      <c r="Q26" s="12" t="str">
        <f t="shared" ca="1" si="0"/>
        <v>-</v>
      </c>
      <c r="W26" t="str">
        <f t="shared" si="1"/>
        <v>-</v>
      </c>
    </row>
    <row r="27" spans="1:29" x14ac:dyDescent="0.25">
      <c r="A27" s="6"/>
      <c r="B27" s="10"/>
      <c r="C27" s="6"/>
      <c r="D27" s="6"/>
      <c r="E27" s="6"/>
      <c r="F27" s="6"/>
      <c r="G27" s="6"/>
      <c r="H27" s="6"/>
      <c r="I27" s="6"/>
      <c r="J27" s="6"/>
      <c r="K27" s="6"/>
      <c r="L27" s="6"/>
      <c r="M27" s="6"/>
      <c r="N27" s="6"/>
      <c r="O27" s="6"/>
      <c r="P27" s="10"/>
      <c r="Q27" s="15" t="str">
        <f t="shared" ca="1" si="0"/>
        <v>-</v>
      </c>
      <c r="R27" s="6"/>
      <c r="S27" s="6"/>
      <c r="T27" s="6"/>
      <c r="U27" s="6"/>
      <c r="V27" s="6"/>
      <c r="W27" s="6" t="str">
        <f t="shared" si="1"/>
        <v>-</v>
      </c>
      <c r="X27" s="6"/>
      <c r="Y27" s="6"/>
      <c r="Z27" s="6"/>
      <c r="AA27" s="6"/>
      <c r="AB27" s="6"/>
      <c r="AC27" s="6"/>
    </row>
    <row r="28" spans="1:29" x14ac:dyDescent="0.25">
      <c r="Q28" s="12" t="str">
        <f t="shared" ca="1" si="0"/>
        <v>-</v>
      </c>
      <c r="W28" t="str">
        <f t="shared" si="1"/>
        <v>-</v>
      </c>
    </row>
    <row r="29" spans="1:29" x14ac:dyDescent="0.25">
      <c r="A29" s="17"/>
      <c r="B29" s="18"/>
      <c r="C29" s="17"/>
      <c r="D29" s="17"/>
      <c r="E29" s="17"/>
      <c r="F29" s="17"/>
      <c r="G29" s="17"/>
      <c r="H29" s="17"/>
      <c r="I29" s="6"/>
      <c r="J29" s="17"/>
      <c r="K29" s="17"/>
      <c r="L29" s="17"/>
      <c r="M29" s="17"/>
      <c r="N29" s="17"/>
      <c r="O29" s="17"/>
      <c r="P29" s="18"/>
      <c r="Q29" s="15" t="str">
        <f t="shared" ca="1" si="0"/>
        <v>-</v>
      </c>
      <c r="R29" s="17"/>
      <c r="S29" s="17"/>
      <c r="T29" s="17"/>
      <c r="U29" s="6"/>
      <c r="V29" s="17"/>
      <c r="W29" s="6" t="str">
        <f t="shared" si="1"/>
        <v>-</v>
      </c>
      <c r="X29" s="6"/>
      <c r="Y29" s="6"/>
      <c r="Z29" s="17"/>
      <c r="AA29" s="17"/>
      <c r="AB29" s="6"/>
      <c r="AC29" s="17"/>
    </row>
    <row r="30" spans="1:29" x14ac:dyDescent="0.25">
      <c r="Q30" s="12" t="str">
        <f t="shared" ca="1" si="0"/>
        <v>-</v>
      </c>
      <c r="W30" t="str">
        <f t="shared" si="1"/>
        <v>-</v>
      </c>
    </row>
    <row r="31" spans="1:29" x14ac:dyDescent="0.25">
      <c r="A31" s="17"/>
      <c r="B31" s="18"/>
      <c r="C31" s="17"/>
      <c r="D31" s="17"/>
      <c r="E31" s="17"/>
      <c r="F31" s="17"/>
      <c r="G31" s="17"/>
      <c r="H31" s="17"/>
      <c r="I31" s="6"/>
      <c r="J31" s="17"/>
      <c r="K31" s="17"/>
      <c r="L31" s="17"/>
      <c r="M31" s="17"/>
      <c r="N31" s="17"/>
      <c r="O31" s="17"/>
      <c r="P31" s="18"/>
      <c r="Q31" s="15" t="str">
        <f t="shared" ca="1" si="0"/>
        <v>-</v>
      </c>
      <c r="R31" s="17"/>
      <c r="S31" s="17"/>
      <c r="T31" s="17"/>
      <c r="U31" s="6"/>
      <c r="V31" s="17"/>
      <c r="W31" s="6" t="str">
        <f t="shared" si="1"/>
        <v>-</v>
      </c>
      <c r="X31" s="6"/>
      <c r="Y31" s="6"/>
      <c r="Z31" s="17"/>
      <c r="AA31" s="17"/>
      <c r="AB31" s="6"/>
      <c r="AC31" s="17"/>
    </row>
    <row r="32" spans="1:29" x14ac:dyDescent="0.25">
      <c r="Q32" s="12" t="str">
        <f t="shared" ca="1" si="0"/>
        <v>-</v>
      </c>
      <c r="W32" t="str">
        <f t="shared" si="1"/>
        <v>-</v>
      </c>
    </row>
    <row r="33" spans="1:29" x14ac:dyDescent="0.25">
      <c r="A33" s="6"/>
      <c r="B33" s="10"/>
      <c r="C33" s="6"/>
      <c r="D33" s="6"/>
      <c r="E33" s="6"/>
      <c r="F33" s="6"/>
      <c r="G33" s="6"/>
      <c r="H33" s="6"/>
      <c r="I33" s="6"/>
      <c r="J33" s="6"/>
      <c r="K33" s="6"/>
      <c r="L33" s="6"/>
      <c r="M33" s="6"/>
      <c r="N33" s="6"/>
      <c r="O33" s="6"/>
      <c r="P33" s="10"/>
      <c r="Q33" s="15" t="str">
        <f t="shared" ca="1" si="0"/>
        <v>-</v>
      </c>
      <c r="R33" s="6"/>
      <c r="S33" s="6"/>
      <c r="T33" s="6"/>
      <c r="U33" s="6"/>
      <c r="V33" s="6"/>
      <c r="W33" s="6" t="str">
        <f t="shared" si="1"/>
        <v>-</v>
      </c>
      <c r="X33" s="6"/>
      <c r="Y33" s="6"/>
      <c r="Z33" s="6"/>
      <c r="AA33" s="6"/>
      <c r="AB33" s="6"/>
      <c r="AC33" s="6"/>
    </row>
    <row r="34" spans="1:29" x14ac:dyDescent="0.25">
      <c r="Q34" s="12" t="str">
        <f t="shared" ca="1" si="0"/>
        <v>-</v>
      </c>
      <c r="W34" t="str">
        <f t="shared" si="1"/>
        <v>-</v>
      </c>
    </row>
    <row r="35" spans="1:29" x14ac:dyDescent="0.25">
      <c r="A35" s="6"/>
      <c r="B35" s="10"/>
      <c r="C35" s="6"/>
      <c r="D35" s="6"/>
      <c r="E35" s="6"/>
      <c r="F35" s="6"/>
      <c r="G35" s="6"/>
      <c r="H35" s="6"/>
      <c r="I35" s="6"/>
      <c r="J35" s="6"/>
      <c r="K35" s="6"/>
      <c r="L35" s="6"/>
      <c r="M35" s="6"/>
      <c r="N35" s="6"/>
      <c r="O35" s="6"/>
      <c r="P35" s="10"/>
      <c r="Q35" s="15" t="str">
        <f t="shared" ca="1" si="0"/>
        <v>-</v>
      </c>
      <c r="R35" s="6"/>
      <c r="S35" s="6"/>
      <c r="T35" s="6"/>
      <c r="U35" s="6"/>
      <c r="V35" s="6"/>
      <c r="W35" s="6" t="str">
        <f t="shared" si="1"/>
        <v>-</v>
      </c>
      <c r="X35" s="6"/>
      <c r="Y35" s="6"/>
      <c r="Z35" s="6"/>
      <c r="AA35" s="6"/>
      <c r="AB35" s="6"/>
      <c r="AC35" s="6"/>
    </row>
    <row r="36" spans="1:29" x14ac:dyDescent="0.25">
      <c r="Q36" s="12" t="str">
        <f t="shared" ca="1" si="0"/>
        <v>-</v>
      </c>
      <c r="W36" t="str">
        <f t="shared" si="1"/>
        <v>-</v>
      </c>
    </row>
    <row r="37" spans="1:29" x14ac:dyDescent="0.25">
      <c r="A37" s="6"/>
      <c r="B37" s="10"/>
      <c r="C37" s="6"/>
      <c r="D37" s="6"/>
      <c r="E37" s="6"/>
      <c r="F37" s="6"/>
      <c r="G37" s="6"/>
      <c r="H37" s="6"/>
      <c r="I37" s="6"/>
      <c r="J37" s="6"/>
      <c r="K37" s="6"/>
      <c r="L37" s="6"/>
      <c r="M37" s="6"/>
      <c r="N37" s="6"/>
      <c r="O37" s="6"/>
      <c r="P37" s="10"/>
      <c r="Q37" s="15" t="str">
        <f t="shared" ca="1" si="0"/>
        <v>-</v>
      </c>
      <c r="R37" s="6"/>
      <c r="S37" s="6"/>
      <c r="T37" s="6"/>
      <c r="U37" s="6"/>
      <c r="V37" s="6"/>
      <c r="W37" s="6" t="str">
        <f t="shared" si="1"/>
        <v>-</v>
      </c>
      <c r="X37" s="6"/>
      <c r="Y37" s="6"/>
      <c r="Z37" s="6"/>
      <c r="AA37" s="6"/>
      <c r="AB37" s="6"/>
      <c r="AC37" s="6"/>
    </row>
    <row r="38" spans="1:29" x14ac:dyDescent="0.25">
      <c r="Q38" s="12" t="str">
        <f t="shared" ca="1" si="0"/>
        <v>-</v>
      </c>
      <c r="W38" t="str">
        <f t="shared" si="1"/>
        <v>-</v>
      </c>
    </row>
    <row r="39" spans="1:29" x14ac:dyDescent="0.25">
      <c r="A39" s="6"/>
      <c r="B39" s="10"/>
      <c r="C39" s="6"/>
      <c r="D39" s="6"/>
      <c r="E39" s="6"/>
      <c r="F39" s="6"/>
      <c r="G39" s="6"/>
      <c r="H39" s="6"/>
      <c r="I39" s="6"/>
      <c r="J39" s="6"/>
      <c r="K39" s="6"/>
      <c r="L39" s="6"/>
      <c r="M39" s="6"/>
      <c r="N39" s="6"/>
      <c r="O39" s="6"/>
      <c r="P39" s="10"/>
      <c r="Q39" s="15" t="str">
        <f t="shared" ca="1" si="0"/>
        <v>-</v>
      </c>
      <c r="R39" s="6"/>
      <c r="S39" s="6"/>
      <c r="T39" s="6"/>
      <c r="U39" s="6"/>
      <c r="V39" s="6"/>
      <c r="W39" s="6" t="str">
        <f t="shared" si="1"/>
        <v>-</v>
      </c>
      <c r="X39" s="6"/>
      <c r="Y39" s="6"/>
      <c r="Z39" s="6"/>
      <c r="AA39" s="6"/>
      <c r="AB39" s="6"/>
      <c r="AC39" s="6"/>
    </row>
    <row r="40" spans="1:29" x14ac:dyDescent="0.25">
      <c r="Q40" s="12" t="str">
        <f t="shared" ca="1" si="0"/>
        <v>-</v>
      </c>
      <c r="W40" t="str">
        <f t="shared" si="1"/>
        <v>-</v>
      </c>
    </row>
    <row r="41" spans="1:29" x14ac:dyDescent="0.25">
      <c r="A41" s="6"/>
      <c r="B41" s="10"/>
      <c r="C41" s="6"/>
      <c r="D41" s="6"/>
      <c r="E41" s="6"/>
      <c r="F41" s="6"/>
      <c r="G41" s="6"/>
      <c r="H41" s="6"/>
      <c r="I41" s="6"/>
      <c r="J41" s="6"/>
      <c r="K41" s="6"/>
      <c r="L41" s="6"/>
      <c r="M41" s="6"/>
      <c r="N41" s="6"/>
      <c r="O41" s="6"/>
      <c r="P41" s="10"/>
      <c r="Q41" s="15" t="str">
        <f t="shared" ca="1" si="0"/>
        <v>-</v>
      </c>
      <c r="R41" s="6"/>
      <c r="S41" s="6"/>
      <c r="T41" s="6"/>
      <c r="U41" s="6"/>
      <c r="V41" s="6"/>
      <c r="W41" s="6" t="str">
        <f t="shared" si="1"/>
        <v>-</v>
      </c>
      <c r="X41" s="6"/>
      <c r="Y41" s="6"/>
      <c r="Z41" s="6"/>
      <c r="AA41" s="6"/>
      <c r="AB41" s="6"/>
      <c r="AC41" s="6"/>
    </row>
    <row r="42" spans="1:29" x14ac:dyDescent="0.25">
      <c r="Q42" s="12" t="str">
        <f t="shared" ca="1" si="0"/>
        <v>-</v>
      </c>
      <c r="W42" t="str">
        <f t="shared" si="1"/>
        <v>-</v>
      </c>
    </row>
    <row r="43" spans="1:29" x14ac:dyDescent="0.25">
      <c r="A43" s="6"/>
      <c r="B43" s="10"/>
      <c r="C43" s="6"/>
      <c r="D43" s="6"/>
      <c r="E43" s="6"/>
      <c r="F43" s="6"/>
      <c r="G43" s="6"/>
      <c r="H43" s="6"/>
      <c r="I43" s="6"/>
      <c r="J43" s="6"/>
      <c r="K43" s="6"/>
      <c r="L43" s="6"/>
      <c r="M43" s="6"/>
      <c r="N43" s="6"/>
      <c r="O43" s="6"/>
      <c r="P43" s="10"/>
      <c r="Q43" s="15" t="str">
        <f t="shared" ca="1" si="0"/>
        <v>-</v>
      </c>
      <c r="R43" s="6"/>
      <c r="S43" s="6"/>
      <c r="T43" s="6"/>
      <c r="U43" s="6"/>
      <c r="V43" s="6"/>
      <c r="W43" s="6" t="str">
        <f t="shared" si="1"/>
        <v>-</v>
      </c>
      <c r="X43" s="6"/>
      <c r="Y43" s="6"/>
      <c r="Z43" s="6"/>
      <c r="AA43" s="6"/>
      <c r="AB43" s="6"/>
      <c r="AC43" s="6"/>
    </row>
    <row r="44" spans="1:29" x14ac:dyDescent="0.25">
      <c r="Q44" s="12" t="str">
        <f t="shared" ca="1" si="0"/>
        <v>-</v>
      </c>
      <c r="W44" t="str">
        <f t="shared" si="1"/>
        <v>-</v>
      </c>
    </row>
    <row r="45" spans="1:29" x14ac:dyDescent="0.25">
      <c r="A45" s="6"/>
      <c r="B45" s="10"/>
      <c r="C45" s="6"/>
      <c r="D45" s="6"/>
      <c r="E45" s="6"/>
      <c r="F45" s="6"/>
      <c r="G45" s="6"/>
      <c r="H45" s="6"/>
      <c r="I45" s="6"/>
      <c r="J45" s="6"/>
      <c r="K45" s="6"/>
      <c r="L45" s="6"/>
      <c r="M45" s="6"/>
      <c r="N45" s="6"/>
      <c r="O45" s="6"/>
      <c r="P45" s="10"/>
      <c r="Q45" s="15" t="str">
        <f t="shared" ca="1" si="0"/>
        <v>-</v>
      </c>
      <c r="R45" s="6"/>
      <c r="S45" s="6"/>
      <c r="T45" s="6"/>
      <c r="U45" s="6"/>
      <c r="V45" s="6"/>
      <c r="W45" s="6" t="str">
        <f t="shared" si="1"/>
        <v>-</v>
      </c>
      <c r="X45" s="6"/>
      <c r="Y45" s="6"/>
      <c r="Z45" s="6"/>
      <c r="AA45" s="6"/>
      <c r="AB45" s="6"/>
      <c r="AC45" s="6"/>
    </row>
    <row r="46" spans="1:29" x14ac:dyDescent="0.25">
      <c r="Q46" s="12" t="str">
        <f t="shared" ca="1" si="0"/>
        <v>-</v>
      </c>
      <c r="W46" t="str">
        <f t="shared" si="1"/>
        <v>-</v>
      </c>
    </row>
    <row r="47" spans="1:29" x14ac:dyDescent="0.25">
      <c r="A47" s="6"/>
      <c r="B47" s="10"/>
      <c r="C47" s="6"/>
      <c r="D47" s="6"/>
      <c r="E47" s="6"/>
      <c r="F47" s="6"/>
      <c r="G47" s="6"/>
      <c r="H47" s="6"/>
      <c r="I47" s="6"/>
      <c r="J47" s="6"/>
      <c r="K47" s="6"/>
      <c r="L47" s="6"/>
      <c r="M47" s="6"/>
      <c r="N47" s="6"/>
      <c r="O47" s="6"/>
      <c r="P47" s="10"/>
      <c r="Q47" s="15" t="str">
        <f t="shared" ca="1" si="0"/>
        <v>-</v>
      </c>
      <c r="R47" s="6"/>
      <c r="S47" s="6"/>
      <c r="T47" s="6"/>
      <c r="U47" s="6"/>
      <c r="V47" s="6"/>
      <c r="W47" s="6" t="str">
        <f t="shared" si="1"/>
        <v>-</v>
      </c>
      <c r="X47" s="6"/>
      <c r="Y47" s="6"/>
      <c r="Z47" s="6"/>
      <c r="AA47" s="6"/>
      <c r="AB47" s="6"/>
      <c r="AC47" s="6"/>
    </row>
    <row r="48" spans="1:29" x14ac:dyDescent="0.25">
      <c r="Q48" s="12" t="str">
        <f t="shared" ca="1" si="0"/>
        <v>-</v>
      </c>
      <c r="W48" t="str">
        <f t="shared" si="1"/>
        <v>-</v>
      </c>
    </row>
    <row r="49" spans="1:29" x14ac:dyDescent="0.25">
      <c r="A49" s="6"/>
      <c r="B49" s="10"/>
      <c r="C49" s="6"/>
      <c r="D49" s="6"/>
      <c r="E49" s="6"/>
      <c r="F49" s="6"/>
      <c r="G49" s="6"/>
      <c r="H49" s="6"/>
      <c r="I49" s="6"/>
      <c r="J49" s="6"/>
      <c r="K49" s="6"/>
      <c r="L49" s="6"/>
      <c r="M49" s="6"/>
      <c r="N49" s="6"/>
      <c r="O49" s="6"/>
      <c r="P49" s="10"/>
      <c r="Q49" s="15" t="str">
        <f t="shared" ca="1" si="0"/>
        <v>-</v>
      </c>
      <c r="R49" s="6"/>
      <c r="S49" s="6"/>
      <c r="T49" s="6"/>
      <c r="U49" s="6"/>
      <c r="V49" s="6"/>
      <c r="W49" s="6" t="str">
        <f t="shared" si="1"/>
        <v>-</v>
      </c>
      <c r="X49" s="6"/>
      <c r="Y49" s="6"/>
      <c r="Z49" s="6"/>
      <c r="AA49" s="6"/>
      <c r="AB49" s="6"/>
      <c r="AC49" s="6"/>
    </row>
    <row r="50" spans="1:29" x14ac:dyDescent="0.25">
      <c r="Q50" s="12" t="str">
        <f t="shared" ca="1" si="0"/>
        <v>-</v>
      </c>
      <c r="W50" t="str">
        <f t="shared" si="1"/>
        <v>-</v>
      </c>
    </row>
    <row r="51" spans="1:29" x14ac:dyDescent="0.25">
      <c r="A51" s="6"/>
      <c r="B51" s="10"/>
      <c r="C51" s="6"/>
      <c r="D51" s="6"/>
      <c r="E51" s="6"/>
      <c r="F51" s="6"/>
      <c r="G51" s="6"/>
      <c r="H51" s="6"/>
      <c r="I51" s="6"/>
      <c r="J51" s="6"/>
      <c r="K51" s="6"/>
      <c r="L51" s="6"/>
      <c r="M51" s="6"/>
      <c r="N51" s="6"/>
      <c r="O51" s="6"/>
      <c r="P51" s="10"/>
      <c r="Q51" s="15" t="str">
        <f t="shared" ca="1" si="0"/>
        <v>-</v>
      </c>
      <c r="R51" s="6"/>
      <c r="S51" s="6"/>
      <c r="T51" s="6"/>
      <c r="U51" s="6"/>
      <c r="V51" s="6"/>
      <c r="W51" s="6" t="str">
        <f t="shared" si="1"/>
        <v>-</v>
      </c>
      <c r="X51" s="6"/>
      <c r="Y51" s="6"/>
      <c r="Z51" s="6"/>
      <c r="AA51" s="6"/>
      <c r="AB51" s="6"/>
      <c r="AC51" s="6"/>
    </row>
    <row r="52" spans="1:29" x14ac:dyDescent="0.25">
      <c r="Q52" s="12" t="str">
        <f t="shared" ca="1" si="0"/>
        <v>-</v>
      </c>
      <c r="W52" t="str">
        <f t="shared" si="1"/>
        <v>-</v>
      </c>
    </row>
    <row r="53" spans="1:29" x14ac:dyDescent="0.25">
      <c r="A53" s="6"/>
      <c r="B53" s="10"/>
      <c r="C53" s="6"/>
      <c r="D53" s="6"/>
      <c r="E53" s="6"/>
      <c r="F53" s="6"/>
      <c r="G53" s="6"/>
      <c r="H53" s="6"/>
      <c r="I53" s="6"/>
      <c r="J53" s="6"/>
      <c r="K53" s="6"/>
      <c r="L53" s="6"/>
      <c r="M53" s="6"/>
      <c r="N53" s="6"/>
      <c r="O53" s="6"/>
      <c r="P53" s="10"/>
      <c r="Q53" s="15" t="str">
        <f t="shared" ca="1" si="0"/>
        <v>-</v>
      </c>
      <c r="R53" s="6"/>
      <c r="S53" s="6"/>
      <c r="T53" s="6"/>
      <c r="U53" s="6"/>
      <c r="V53" s="6"/>
      <c r="W53" s="6" t="str">
        <f t="shared" si="1"/>
        <v>-</v>
      </c>
      <c r="X53" s="6"/>
      <c r="Y53" s="6"/>
      <c r="Z53" s="6"/>
      <c r="AA53" s="6"/>
      <c r="AB53" s="6"/>
      <c r="AC53" s="6"/>
    </row>
    <row r="54" spans="1:29" x14ac:dyDescent="0.25">
      <c r="Q54" s="12" t="str">
        <f t="shared" ca="1" si="0"/>
        <v>-</v>
      </c>
      <c r="W54" t="str">
        <f t="shared" si="1"/>
        <v>-</v>
      </c>
    </row>
    <row r="55" spans="1:29" x14ac:dyDescent="0.25">
      <c r="A55" s="6"/>
      <c r="B55" s="10"/>
      <c r="C55" s="6"/>
      <c r="D55" s="6"/>
      <c r="E55" s="6"/>
      <c r="F55" s="6"/>
      <c r="G55" s="6"/>
      <c r="H55" s="6"/>
      <c r="I55" s="6"/>
      <c r="J55" s="6"/>
      <c r="K55" s="6"/>
      <c r="L55" s="6"/>
      <c r="M55" s="6"/>
      <c r="N55" s="6"/>
      <c r="O55" s="6"/>
      <c r="P55" s="10"/>
      <c r="Q55" s="15" t="str">
        <f t="shared" ca="1" si="0"/>
        <v>-</v>
      </c>
      <c r="R55" s="6"/>
      <c r="S55" s="6"/>
      <c r="T55" s="6"/>
      <c r="U55" s="6"/>
      <c r="V55" s="6"/>
      <c r="W55" s="6" t="str">
        <f t="shared" si="1"/>
        <v>-</v>
      </c>
      <c r="X55" s="6"/>
      <c r="Y55" s="6"/>
      <c r="Z55" s="6"/>
      <c r="AA55" s="6"/>
      <c r="AB55" s="6"/>
      <c r="AC55" s="6"/>
    </row>
    <row r="56" spans="1:29" x14ac:dyDescent="0.25">
      <c r="Q56" s="12" t="str">
        <f t="shared" ca="1" si="0"/>
        <v>-</v>
      </c>
      <c r="W56" t="str">
        <f t="shared" si="1"/>
        <v>-</v>
      </c>
    </row>
    <row r="57" spans="1:29" x14ac:dyDescent="0.25">
      <c r="A57" s="6"/>
      <c r="B57" s="10"/>
      <c r="C57" s="6"/>
      <c r="D57" s="6"/>
      <c r="E57" s="6"/>
      <c r="F57" s="6"/>
      <c r="G57" s="6"/>
      <c r="H57" s="6"/>
      <c r="I57" s="6"/>
      <c r="J57" s="6"/>
      <c r="K57" s="6"/>
      <c r="L57" s="6"/>
      <c r="M57" s="6"/>
      <c r="N57" s="6"/>
      <c r="O57" s="6"/>
      <c r="P57" s="10"/>
      <c r="Q57" s="15" t="str">
        <f t="shared" ca="1" si="0"/>
        <v>-</v>
      </c>
      <c r="R57" s="6"/>
      <c r="S57" s="6"/>
      <c r="T57" s="6"/>
      <c r="U57" s="6"/>
      <c r="V57" s="6"/>
      <c r="W57" s="6" t="str">
        <f t="shared" si="1"/>
        <v>-</v>
      </c>
      <c r="X57" s="6"/>
      <c r="Y57" s="6"/>
      <c r="Z57" s="6"/>
      <c r="AA57" s="6"/>
      <c r="AB57" s="6"/>
      <c r="AC57" s="6"/>
    </row>
    <row r="58" spans="1:29" x14ac:dyDescent="0.25">
      <c r="Q58" s="12" t="str">
        <f t="shared" ca="1" si="0"/>
        <v>-</v>
      </c>
      <c r="W58" t="str">
        <f t="shared" si="1"/>
        <v>-</v>
      </c>
    </row>
    <row r="59" spans="1:29" x14ac:dyDescent="0.25">
      <c r="A59" s="6"/>
      <c r="B59" s="10"/>
      <c r="C59" s="6"/>
      <c r="D59" s="6"/>
      <c r="E59" s="6"/>
      <c r="F59" s="6"/>
      <c r="G59" s="6"/>
      <c r="H59" s="6"/>
      <c r="I59" s="6"/>
      <c r="J59" s="6"/>
      <c r="K59" s="6"/>
      <c r="L59" s="6"/>
      <c r="M59" s="6"/>
      <c r="N59" s="6"/>
      <c r="O59" s="6"/>
      <c r="P59" s="10"/>
      <c r="Q59" s="15" t="str">
        <f t="shared" ca="1" si="0"/>
        <v>-</v>
      </c>
      <c r="R59" s="6"/>
      <c r="S59" s="6"/>
      <c r="T59" s="6"/>
      <c r="U59" s="6"/>
      <c r="V59" s="6"/>
      <c r="W59" s="6" t="str">
        <f t="shared" si="1"/>
        <v>-</v>
      </c>
      <c r="X59" s="6"/>
      <c r="Y59" s="6"/>
      <c r="Z59" s="6"/>
      <c r="AA59" s="6"/>
      <c r="AB59" s="6"/>
      <c r="AC59" s="6"/>
    </row>
    <row r="60" spans="1:29" x14ac:dyDescent="0.25">
      <c r="Q60" s="12" t="str">
        <f t="shared" ca="1" si="0"/>
        <v>-</v>
      </c>
      <c r="W60" t="str">
        <f t="shared" si="1"/>
        <v>-</v>
      </c>
    </row>
    <row r="61" spans="1:29" x14ac:dyDescent="0.25">
      <c r="A61" s="6"/>
      <c r="B61" s="10"/>
      <c r="C61" s="6"/>
      <c r="D61" s="6"/>
      <c r="E61" s="6"/>
      <c r="F61" s="6"/>
      <c r="G61" s="6"/>
      <c r="H61" s="6"/>
      <c r="I61" s="6"/>
      <c r="J61" s="6"/>
      <c r="K61" s="6"/>
      <c r="L61" s="6"/>
      <c r="M61" s="6"/>
      <c r="N61" s="6"/>
      <c r="O61" s="6"/>
      <c r="P61" s="10"/>
      <c r="Q61" s="15" t="str">
        <f t="shared" ca="1" si="0"/>
        <v>-</v>
      </c>
      <c r="R61" s="6"/>
      <c r="S61" s="6"/>
      <c r="T61" s="6"/>
      <c r="U61" s="6"/>
      <c r="V61" s="6"/>
      <c r="W61" s="6" t="str">
        <f t="shared" si="1"/>
        <v>-</v>
      </c>
      <c r="X61" s="6"/>
      <c r="Y61" s="6"/>
      <c r="Z61" s="6"/>
      <c r="AA61" s="6"/>
      <c r="AB61" s="6"/>
      <c r="AC61" s="6"/>
    </row>
    <row r="62" spans="1:29" x14ac:dyDescent="0.25">
      <c r="Q62" s="12" t="str">
        <f t="shared" ca="1" si="0"/>
        <v>-</v>
      </c>
      <c r="W62" t="str">
        <f t="shared" si="1"/>
        <v>-</v>
      </c>
    </row>
    <row r="63" spans="1:29" x14ac:dyDescent="0.25">
      <c r="A63" s="6"/>
      <c r="B63" s="10"/>
      <c r="C63" s="6"/>
      <c r="D63" s="6"/>
      <c r="E63" s="6"/>
      <c r="F63" s="6"/>
      <c r="G63" s="6"/>
      <c r="H63" s="6"/>
      <c r="I63" s="6"/>
      <c r="J63" s="6"/>
      <c r="K63" s="6"/>
      <c r="L63" s="6"/>
      <c r="M63" s="6"/>
      <c r="N63" s="6"/>
      <c r="O63" s="6"/>
      <c r="P63" s="10"/>
      <c r="Q63" s="15" t="str">
        <f t="shared" ca="1" si="0"/>
        <v>-</v>
      </c>
      <c r="R63" s="6"/>
      <c r="S63" s="6"/>
      <c r="T63" s="6"/>
      <c r="U63" s="6"/>
      <c r="V63" s="6"/>
      <c r="W63" s="6" t="str">
        <f t="shared" si="1"/>
        <v>-</v>
      </c>
      <c r="X63" s="6"/>
      <c r="Y63" s="6"/>
      <c r="Z63" s="6"/>
      <c r="AA63" s="6"/>
      <c r="AB63" s="6"/>
      <c r="AC63" s="6"/>
    </row>
    <row r="64" spans="1:29" x14ac:dyDescent="0.25">
      <c r="Q64" s="12" t="str">
        <f t="shared" ca="1" si="0"/>
        <v>-</v>
      </c>
      <c r="W64" t="str">
        <f t="shared" si="1"/>
        <v>-</v>
      </c>
    </row>
    <row r="65" spans="1:29" x14ac:dyDescent="0.25">
      <c r="A65" s="6"/>
      <c r="B65" s="10"/>
      <c r="C65" s="6"/>
      <c r="D65" s="6"/>
      <c r="E65" s="6"/>
      <c r="F65" s="6"/>
      <c r="G65" s="6"/>
      <c r="H65" s="6"/>
      <c r="I65" s="6"/>
      <c r="J65" s="6"/>
      <c r="K65" s="6"/>
      <c r="L65" s="6"/>
      <c r="M65" s="6"/>
      <c r="N65" s="6"/>
      <c r="O65" s="6"/>
      <c r="P65" s="10"/>
      <c r="Q65" s="15" t="str">
        <f t="shared" ca="1" si="0"/>
        <v>-</v>
      </c>
      <c r="R65" s="6"/>
      <c r="S65" s="6"/>
      <c r="T65" s="6"/>
      <c r="U65" s="6"/>
      <c r="V65" s="6"/>
      <c r="W65" s="6" t="str">
        <f t="shared" si="1"/>
        <v>-</v>
      </c>
      <c r="X65" s="6"/>
      <c r="Y65" s="6"/>
      <c r="Z65" s="6"/>
      <c r="AA65" s="6"/>
      <c r="AB65" s="6"/>
      <c r="AC65" s="6"/>
    </row>
    <row r="66" spans="1:29" x14ac:dyDescent="0.25">
      <c r="Q66" s="12" t="str">
        <f t="shared" ca="1" si="0"/>
        <v>-</v>
      </c>
      <c r="W66" t="str">
        <f t="shared" si="1"/>
        <v>-</v>
      </c>
    </row>
    <row r="67" spans="1:29" x14ac:dyDescent="0.25">
      <c r="A67" s="6"/>
      <c r="B67" s="10"/>
      <c r="C67" s="6"/>
      <c r="D67" s="6"/>
      <c r="E67" s="6"/>
      <c r="F67" s="6"/>
      <c r="G67" s="6"/>
      <c r="H67" s="6"/>
      <c r="I67" s="6"/>
      <c r="J67" s="6"/>
      <c r="K67" s="6"/>
      <c r="L67" s="6"/>
      <c r="M67" s="6"/>
      <c r="N67" s="6"/>
      <c r="O67" s="6"/>
      <c r="P67" s="10"/>
      <c r="Q67" s="15" t="str">
        <f t="shared" ca="1" si="0"/>
        <v>-</v>
      </c>
      <c r="R67" s="6"/>
      <c r="S67" s="6"/>
      <c r="T67" s="6"/>
      <c r="U67" s="6"/>
      <c r="V67" s="6"/>
      <c r="W67" s="6" t="str">
        <f t="shared" si="1"/>
        <v>-</v>
      </c>
      <c r="X67" s="6"/>
      <c r="Y67" s="6"/>
      <c r="Z67" s="6"/>
      <c r="AA67" s="6"/>
      <c r="AB67" s="6"/>
      <c r="AC67" s="6"/>
    </row>
    <row r="68" spans="1:29" x14ac:dyDescent="0.25">
      <c r="Q68" s="12" t="str">
        <f t="shared" ca="1" si="0"/>
        <v>-</v>
      </c>
      <c r="W68" t="str">
        <f t="shared" si="1"/>
        <v>-</v>
      </c>
    </row>
    <row r="69" spans="1:29" x14ac:dyDescent="0.25">
      <c r="A69" s="6"/>
      <c r="B69" s="10"/>
      <c r="C69" s="6"/>
      <c r="D69" s="6"/>
      <c r="E69" s="6"/>
      <c r="F69" s="6"/>
      <c r="G69" s="6"/>
      <c r="H69" s="6"/>
      <c r="I69" s="6"/>
      <c r="J69" s="6"/>
      <c r="K69" s="6"/>
      <c r="L69" s="6"/>
      <c r="M69" s="6"/>
      <c r="N69" s="6"/>
      <c r="O69" s="6"/>
      <c r="P69" s="10"/>
      <c r="Q69" s="15" t="str">
        <f t="shared" ref="Q69:Q132" ca="1" si="2">IF(B69&gt;1/1/1900, (IF(R69="Closed",(DATEDIF(B69,P69,"d"))-(DATEDIF(M69,O69,"d")),IF(OR(R69="Pending",ISBLANK(P69)),TODAY()-B69))),"-")</f>
        <v>-</v>
      </c>
      <c r="R69" s="6"/>
      <c r="S69" s="6"/>
      <c r="T69" s="6"/>
      <c r="U69" s="6"/>
      <c r="V69" s="6"/>
      <c r="W69" s="6" t="str">
        <f t="shared" ref="W69:W132" si="3">IF(OR(ISBLANK(J69),ISBLANK(V69)),"-",(IF(J69=V69,"Yes","No")))</f>
        <v>-</v>
      </c>
      <c r="X69" s="6"/>
      <c r="Y69" s="6"/>
      <c r="Z69" s="6"/>
      <c r="AA69" s="6"/>
      <c r="AB69" s="6"/>
      <c r="AC69" s="6"/>
    </row>
    <row r="70" spans="1:29" x14ac:dyDescent="0.25">
      <c r="Q70" s="12" t="str">
        <f t="shared" ca="1" si="2"/>
        <v>-</v>
      </c>
      <c r="W70" t="str">
        <f t="shared" si="3"/>
        <v>-</v>
      </c>
    </row>
    <row r="71" spans="1:29" x14ac:dyDescent="0.25">
      <c r="A71" s="6"/>
      <c r="B71" s="10"/>
      <c r="C71" s="6"/>
      <c r="D71" s="6"/>
      <c r="E71" s="6"/>
      <c r="F71" s="6"/>
      <c r="G71" s="6"/>
      <c r="H71" s="6"/>
      <c r="I71" s="6"/>
      <c r="J71" s="6"/>
      <c r="K71" s="6"/>
      <c r="L71" s="6"/>
      <c r="M71" s="6"/>
      <c r="N71" s="6"/>
      <c r="O71" s="6"/>
      <c r="P71" s="10"/>
      <c r="Q71" s="15" t="str">
        <f t="shared" ca="1" si="2"/>
        <v>-</v>
      </c>
      <c r="R71" s="6"/>
      <c r="S71" s="6"/>
      <c r="T71" s="6"/>
      <c r="U71" s="6"/>
      <c r="V71" s="6"/>
      <c r="W71" s="6" t="str">
        <f t="shared" si="3"/>
        <v>-</v>
      </c>
      <c r="X71" s="6"/>
      <c r="Y71" s="6"/>
      <c r="Z71" s="6"/>
      <c r="AA71" s="6"/>
      <c r="AB71" s="6"/>
      <c r="AC71" s="6"/>
    </row>
    <row r="72" spans="1:29" x14ac:dyDescent="0.25">
      <c r="Q72" s="12" t="str">
        <f t="shared" ca="1" si="2"/>
        <v>-</v>
      </c>
      <c r="W72" t="str">
        <f t="shared" si="3"/>
        <v>-</v>
      </c>
    </row>
    <row r="73" spans="1:29" x14ac:dyDescent="0.25">
      <c r="A73" s="6"/>
      <c r="B73" s="10"/>
      <c r="C73" s="6"/>
      <c r="D73" s="6"/>
      <c r="E73" s="6"/>
      <c r="F73" s="6"/>
      <c r="G73" s="6"/>
      <c r="H73" s="6"/>
      <c r="I73" s="6"/>
      <c r="J73" s="6"/>
      <c r="K73" s="6"/>
      <c r="L73" s="6"/>
      <c r="M73" s="6"/>
      <c r="N73" s="6"/>
      <c r="O73" s="6"/>
      <c r="P73" s="10"/>
      <c r="Q73" s="15" t="str">
        <f t="shared" ca="1" si="2"/>
        <v>-</v>
      </c>
      <c r="R73" s="6"/>
      <c r="S73" s="6"/>
      <c r="T73" s="6"/>
      <c r="U73" s="6"/>
      <c r="V73" s="6"/>
      <c r="W73" s="6" t="str">
        <f t="shared" si="3"/>
        <v>-</v>
      </c>
      <c r="X73" s="6"/>
      <c r="Y73" s="6"/>
      <c r="Z73" s="6"/>
      <c r="AA73" s="6"/>
      <c r="AB73" s="6"/>
      <c r="AC73" s="6"/>
    </row>
    <row r="74" spans="1:29" x14ac:dyDescent="0.25">
      <c r="Q74" s="12" t="str">
        <f t="shared" ca="1" si="2"/>
        <v>-</v>
      </c>
      <c r="W74" t="str">
        <f t="shared" si="3"/>
        <v>-</v>
      </c>
    </row>
    <row r="75" spans="1:29" x14ac:dyDescent="0.25">
      <c r="A75" s="6"/>
      <c r="B75" s="10"/>
      <c r="C75" s="6"/>
      <c r="D75" s="6"/>
      <c r="E75" s="6"/>
      <c r="F75" s="6"/>
      <c r="G75" s="6"/>
      <c r="H75" s="6"/>
      <c r="I75" s="6"/>
      <c r="J75" s="6"/>
      <c r="K75" s="6"/>
      <c r="L75" s="6"/>
      <c r="M75" s="6"/>
      <c r="N75" s="6"/>
      <c r="O75" s="6"/>
      <c r="P75" s="10"/>
      <c r="Q75" s="15" t="str">
        <f t="shared" ca="1" si="2"/>
        <v>-</v>
      </c>
      <c r="R75" s="6"/>
      <c r="S75" s="6"/>
      <c r="T75" s="6"/>
      <c r="U75" s="6"/>
      <c r="V75" s="6"/>
      <c r="W75" s="6" t="str">
        <f t="shared" si="3"/>
        <v>-</v>
      </c>
      <c r="X75" s="6"/>
      <c r="Y75" s="6"/>
      <c r="Z75" s="6"/>
      <c r="AA75" s="6"/>
      <c r="AB75" s="6"/>
      <c r="AC75" s="6"/>
    </row>
    <row r="76" spans="1:29" x14ac:dyDescent="0.25">
      <c r="Q76" s="12" t="str">
        <f t="shared" ca="1" si="2"/>
        <v>-</v>
      </c>
      <c r="W76" t="str">
        <f t="shared" si="3"/>
        <v>-</v>
      </c>
    </row>
    <row r="77" spans="1:29" x14ac:dyDescent="0.25">
      <c r="A77" s="6"/>
      <c r="B77" s="10"/>
      <c r="C77" s="6"/>
      <c r="D77" s="6"/>
      <c r="E77" s="6"/>
      <c r="F77" s="6"/>
      <c r="G77" s="6"/>
      <c r="H77" s="6"/>
      <c r="I77" s="6"/>
      <c r="J77" s="6"/>
      <c r="K77" s="6"/>
      <c r="L77" s="6"/>
      <c r="M77" s="6"/>
      <c r="N77" s="6"/>
      <c r="O77" s="6"/>
      <c r="P77" s="10"/>
      <c r="Q77" s="15" t="str">
        <f t="shared" ca="1" si="2"/>
        <v>-</v>
      </c>
      <c r="R77" s="6"/>
      <c r="S77" s="6"/>
      <c r="T77" s="6"/>
      <c r="U77" s="6"/>
      <c r="V77" s="6"/>
      <c r="W77" s="6" t="str">
        <f t="shared" si="3"/>
        <v>-</v>
      </c>
      <c r="X77" s="6"/>
      <c r="Y77" s="6"/>
      <c r="Z77" s="6"/>
      <c r="AA77" s="6"/>
      <c r="AB77" s="6"/>
      <c r="AC77" s="6"/>
    </row>
    <row r="78" spans="1:29" x14ac:dyDescent="0.25">
      <c r="Q78" s="12" t="str">
        <f t="shared" ca="1" si="2"/>
        <v>-</v>
      </c>
      <c r="W78" t="str">
        <f t="shared" si="3"/>
        <v>-</v>
      </c>
    </row>
    <row r="79" spans="1:29" x14ac:dyDescent="0.25">
      <c r="A79" s="6"/>
      <c r="B79" s="10"/>
      <c r="C79" s="6"/>
      <c r="D79" s="6"/>
      <c r="E79" s="6"/>
      <c r="F79" s="6"/>
      <c r="G79" s="6"/>
      <c r="H79" s="6"/>
      <c r="I79" s="6"/>
      <c r="J79" s="6"/>
      <c r="K79" s="6"/>
      <c r="L79" s="6"/>
      <c r="M79" s="6"/>
      <c r="N79" s="6"/>
      <c r="O79" s="6"/>
      <c r="P79" s="10"/>
      <c r="Q79" s="15" t="str">
        <f t="shared" ca="1" si="2"/>
        <v>-</v>
      </c>
      <c r="R79" s="6"/>
      <c r="S79" s="6"/>
      <c r="T79" s="6"/>
      <c r="U79" s="6"/>
      <c r="V79" s="6"/>
      <c r="W79" s="6" t="str">
        <f t="shared" si="3"/>
        <v>-</v>
      </c>
      <c r="X79" s="6"/>
      <c r="Y79" s="6"/>
      <c r="Z79" s="6"/>
      <c r="AA79" s="6"/>
      <c r="AB79" s="6"/>
      <c r="AC79" s="6"/>
    </row>
    <row r="80" spans="1:29" x14ac:dyDescent="0.25">
      <c r="Q80" s="12" t="str">
        <f t="shared" ca="1" si="2"/>
        <v>-</v>
      </c>
      <c r="W80" t="str">
        <f t="shared" si="3"/>
        <v>-</v>
      </c>
    </row>
    <row r="81" spans="1:29" x14ac:dyDescent="0.25">
      <c r="A81" s="6"/>
      <c r="B81" s="10"/>
      <c r="C81" s="6"/>
      <c r="D81" s="6"/>
      <c r="E81" s="6"/>
      <c r="F81" s="6"/>
      <c r="G81" s="6"/>
      <c r="H81" s="6"/>
      <c r="I81" s="6"/>
      <c r="J81" s="6"/>
      <c r="K81" s="6"/>
      <c r="L81" s="6"/>
      <c r="M81" s="6"/>
      <c r="N81" s="6"/>
      <c r="O81" s="6"/>
      <c r="P81" s="10"/>
      <c r="Q81" s="15" t="str">
        <f t="shared" ca="1" si="2"/>
        <v>-</v>
      </c>
      <c r="R81" s="6"/>
      <c r="S81" s="6"/>
      <c r="T81" s="6"/>
      <c r="U81" s="6"/>
      <c r="V81" s="6"/>
      <c r="W81" s="6" t="str">
        <f t="shared" si="3"/>
        <v>-</v>
      </c>
      <c r="X81" s="6"/>
      <c r="Y81" s="6"/>
      <c r="Z81" s="6"/>
      <c r="AA81" s="6"/>
      <c r="AB81" s="6"/>
      <c r="AC81" s="6"/>
    </row>
    <row r="82" spans="1:29" x14ac:dyDescent="0.25">
      <c r="Q82" s="12" t="str">
        <f t="shared" ca="1" si="2"/>
        <v>-</v>
      </c>
      <c r="W82" t="str">
        <f t="shared" si="3"/>
        <v>-</v>
      </c>
    </row>
    <row r="83" spans="1:29" x14ac:dyDescent="0.25">
      <c r="A83" s="6"/>
      <c r="B83" s="10"/>
      <c r="C83" s="6"/>
      <c r="D83" s="6"/>
      <c r="E83" s="6"/>
      <c r="F83" s="6"/>
      <c r="G83" s="6"/>
      <c r="H83" s="6"/>
      <c r="I83" s="6"/>
      <c r="J83" s="6"/>
      <c r="K83" s="6"/>
      <c r="L83" s="6"/>
      <c r="M83" s="6"/>
      <c r="N83" s="6"/>
      <c r="O83" s="6"/>
      <c r="P83" s="10"/>
      <c r="Q83" s="15" t="str">
        <f t="shared" ca="1" si="2"/>
        <v>-</v>
      </c>
      <c r="R83" s="6"/>
      <c r="S83" s="6"/>
      <c r="T83" s="6"/>
      <c r="U83" s="6"/>
      <c r="V83" s="6"/>
      <c r="W83" s="6" t="str">
        <f t="shared" si="3"/>
        <v>-</v>
      </c>
      <c r="X83" s="6"/>
      <c r="Y83" s="6"/>
      <c r="Z83" s="6"/>
      <c r="AA83" s="6"/>
      <c r="AB83" s="6"/>
      <c r="AC83" s="6"/>
    </row>
    <row r="84" spans="1:29" x14ac:dyDescent="0.25">
      <c r="Q84" s="12" t="str">
        <f t="shared" ca="1" si="2"/>
        <v>-</v>
      </c>
      <c r="W84" t="str">
        <f t="shared" si="3"/>
        <v>-</v>
      </c>
    </row>
    <row r="85" spans="1:29" x14ac:dyDescent="0.25">
      <c r="A85" s="6"/>
      <c r="B85" s="10"/>
      <c r="C85" s="6"/>
      <c r="D85" s="6"/>
      <c r="E85" s="6"/>
      <c r="F85" s="6"/>
      <c r="G85" s="6"/>
      <c r="H85" s="6"/>
      <c r="I85" s="6"/>
      <c r="J85" s="6"/>
      <c r="K85" s="6"/>
      <c r="L85" s="6"/>
      <c r="M85" s="6"/>
      <c r="N85" s="6"/>
      <c r="O85" s="6"/>
      <c r="P85" s="10"/>
      <c r="Q85" s="15" t="str">
        <f t="shared" ca="1" si="2"/>
        <v>-</v>
      </c>
      <c r="R85" s="6"/>
      <c r="S85" s="6"/>
      <c r="T85" s="6"/>
      <c r="U85" s="6"/>
      <c r="V85" s="6"/>
      <c r="W85" s="6" t="str">
        <f t="shared" si="3"/>
        <v>-</v>
      </c>
      <c r="X85" s="6"/>
      <c r="Y85" s="6"/>
      <c r="Z85" s="6"/>
      <c r="AA85" s="6"/>
      <c r="AB85" s="6"/>
      <c r="AC85" s="6"/>
    </row>
    <row r="86" spans="1:29" x14ac:dyDescent="0.25">
      <c r="Q86" s="12" t="str">
        <f t="shared" ca="1" si="2"/>
        <v>-</v>
      </c>
      <c r="W86" t="str">
        <f t="shared" si="3"/>
        <v>-</v>
      </c>
    </row>
    <row r="87" spans="1:29" x14ac:dyDescent="0.25">
      <c r="A87" s="6"/>
      <c r="B87" s="10"/>
      <c r="C87" s="6"/>
      <c r="D87" s="6"/>
      <c r="E87" s="6"/>
      <c r="F87" s="6"/>
      <c r="G87" s="6"/>
      <c r="H87" s="6"/>
      <c r="I87" s="6"/>
      <c r="J87" s="6"/>
      <c r="K87" s="6"/>
      <c r="L87" s="6"/>
      <c r="M87" s="6"/>
      <c r="N87" s="6"/>
      <c r="O87" s="6"/>
      <c r="P87" s="10"/>
      <c r="Q87" s="15" t="str">
        <f t="shared" ca="1" si="2"/>
        <v>-</v>
      </c>
      <c r="R87" s="6"/>
      <c r="S87" s="6"/>
      <c r="T87" s="6"/>
      <c r="U87" s="6"/>
      <c r="V87" s="6"/>
      <c r="W87" s="6" t="str">
        <f t="shared" si="3"/>
        <v>-</v>
      </c>
      <c r="X87" s="6"/>
      <c r="Y87" s="6"/>
      <c r="Z87" s="6"/>
      <c r="AA87" s="6"/>
      <c r="AB87" s="6"/>
      <c r="AC87" s="6"/>
    </row>
    <row r="88" spans="1:29" x14ac:dyDescent="0.25">
      <c r="Q88" s="12" t="str">
        <f t="shared" ca="1" si="2"/>
        <v>-</v>
      </c>
      <c r="W88" t="str">
        <f t="shared" si="3"/>
        <v>-</v>
      </c>
    </row>
    <row r="89" spans="1:29" x14ac:dyDescent="0.25">
      <c r="A89" s="6"/>
      <c r="B89" s="10"/>
      <c r="C89" s="6"/>
      <c r="D89" s="6"/>
      <c r="E89" s="6"/>
      <c r="F89" s="6"/>
      <c r="G89" s="6"/>
      <c r="H89" s="6"/>
      <c r="I89" s="6"/>
      <c r="J89" s="6"/>
      <c r="K89" s="6"/>
      <c r="L89" s="6"/>
      <c r="M89" s="6"/>
      <c r="N89" s="6"/>
      <c r="O89" s="6"/>
      <c r="P89" s="10"/>
      <c r="Q89" s="15" t="str">
        <f t="shared" ca="1" si="2"/>
        <v>-</v>
      </c>
      <c r="R89" s="6"/>
      <c r="S89" s="6"/>
      <c r="T89" s="6"/>
      <c r="U89" s="6"/>
      <c r="V89" s="6"/>
      <c r="W89" s="6" t="str">
        <f t="shared" si="3"/>
        <v>-</v>
      </c>
      <c r="X89" s="6"/>
      <c r="Y89" s="6"/>
      <c r="Z89" s="6"/>
      <c r="AA89" s="6"/>
      <c r="AB89" s="6"/>
      <c r="AC89" s="6"/>
    </row>
    <row r="90" spans="1:29" x14ac:dyDescent="0.25">
      <c r="Q90" s="12" t="str">
        <f t="shared" ca="1" si="2"/>
        <v>-</v>
      </c>
      <c r="W90" t="str">
        <f t="shared" si="3"/>
        <v>-</v>
      </c>
    </row>
    <row r="91" spans="1:29" x14ac:dyDescent="0.25">
      <c r="A91" s="6"/>
      <c r="B91" s="10"/>
      <c r="C91" s="6"/>
      <c r="D91" s="6"/>
      <c r="E91" s="6"/>
      <c r="F91" s="6"/>
      <c r="G91" s="6"/>
      <c r="H91" s="6"/>
      <c r="I91" s="6"/>
      <c r="J91" s="6"/>
      <c r="K91" s="6"/>
      <c r="L91" s="6"/>
      <c r="M91" s="6"/>
      <c r="N91" s="6"/>
      <c r="O91" s="6"/>
      <c r="P91" s="10"/>
      <c r="Q91" s="15" t="str">
        <f t="shared" ca="1" si="2"/>
        <v>-</v>
      </c>
      <c r="R91" s="6"/>
      <c r="S91" s="6"/>
      <c r="T91" s="6"/>
      <c r="U91" s="6"/>
      <c r="V91" s="6"/>
      <c r="W91" s="6" t="str">
        <f t="shared" si="3"/>
        <v>-</v>
      </c>
      <c r="X91" s="6"/>
      <c r="Y91" s="6"/>
      <c r="Z91" s="6"/>
      <c r="AA91" s="6"/>
      <c r="AB91" s="6"/>
      <c r="AC91" s="6"/>
    </row>
    <row r="92" spans="1:29" x14ac:dyDescent="0.25">
      <c r="Q92" s="12" t="str">
        <f t="shared" ca="1" si="2"/>
        <v>-</v>
      </c>
      <c r="W92" t="str">
        <f t="shared" si="3"/>
        <v>-</v>
      </c>
    </row>
    <row r="93" spans="1:29" x14ac:dyDescent="0.25">
      <c r="A93" s="6"/>
      <c r="B93" s="10"/>
      <c r="C93" s="6"/>
      <c r="D93" s="6"/>
      <c r="E93" s="6"/>
      <c r="F93" s="6"/>
      <c r="G93" s="6"/>
      <c r="H93" s="6"/>
      <c r="I93" s="6"/>
      <c r="J93" s="6"/>
      <c r="K93" s="6"/>
      <c r="L93" s="6"/>
      <c r="M93" s="6"/>
      <c r="N93" s="6"/>
      <c r="O93" s="6"/>
      <c r="P93" s="10"/>
      <c r="Q93" s="15" t="str">
        <f t="shared" ca="1" si="2"/>
        <v>-</v>
      </c>
      <c r="R93" s="6"/>
      <c r="S93" s="6"/>
      <c r="T93" s="6"/>
      <c r="U93" s="6"/>
      <c r="V93" s="6"/>
      <c r="W93" s="6" t="str">
        <f t="shared" si="3"/>
        <v>-</v>
      </c>
      <c r="X93" s="6"/>
      <c r="Y93" s="6"/>
      <c r="Z93" s="6"/>
      <c r="AA93" s="6"/>
      <c r="AB93" s="6"/>
      <c r="AC93" s="6"/>
    </row>
    <row r="94" spans="1:29" x14ac:dyDescent="0.25">
      <c r="Q94" s="12" t="str">
        <f t="shared" ca="1" si="2"/>
        <v>-</v>
      </c>
      <c r="W94" t="str">
        <f t="shared" si="3"/>
        <v>-</v>
      </c>
    </row>
    <row r="95" spans="1:29" x14ac:dyDescent="0.25">
      <c r="A95" s="6"/>
      <c r="B95" s="10"/>
      <c r="C95" s="6"/>
      <c r="D95" s="6"/>
      <c r="E95" s="6"/>
      <c r="F95" s="6"/>
      <c r="G95" s="6"/>
      <c r="H95" s="6"/>
      <c r="I95" s="6"/>
      <c r="J95" s="6"/>
      <c r="K95" s="6"/>
      <c r="L95" s="6"/>
      <c r="M95" s="6"/>
      <c r="N95" s="6"/>
      <c r="O95" s="6"/>
      <c r="P95" s="10"/>
      <c r="Q95" s="15" t="str">
        <f t="shared" ca="1" si="2"/>
        <v>-</v>
      </c>
      <c r="R95" s="6"/>
      <c r="S95" s="6"/>
      <c r="T95" s="6"/>
      <c r="U95" s="6"/>
      <c r="V95" s="6"/>
      <c r="W95" s="6" t="str">
        <f t="shared" si="3"/>
        <v>-</v>
      </c>
      <c r="X95" s="6"/>
      <c r="Y95" s="6"/>
      <c r="Z95" s="6"/>
      <c r="AA95" s="6"/>
      <c r="AB95" s="6"/>
      <c r="AC95" s="6"/>
    </row>
    <row r="96" spans="1:29" x14ac:dyDescent="0.25">
      <c r="Q96" s="12" t="str">
        <f t="shared" ca="1" si="2"/>
        <v>-</v>
      </c>
      <c r="W96" t="str">
        <f t="shared" si="3"/>
        <v>-</v>
      </c>
    </row>
    <row r="97" spans="1:29" x14ac:dyDescent="0.25">
      <c r="A97" s="6"/>
      <c r="B97" s="10"/>
      <c r="C97" s="6"/>
      <c r="D97" s="6"/>
      <c r="E97" s="6"/>
      <c r="F97" s="6"/>
      <c r="G97" s="6"/>
      <c r="H97" s="6"/>
      <c r="I97" s="6"/>
      <c r="J97" s="6"/>
      <c r="K97" s="6"/>
      <c r="L97" s="6"/>
      <c r="M97" s="6"/>
      <c r="N97" s="6"/>
      <c r="O97" s="6"/>
      <c r="P97" s="10"/>
      <c r="Q97" s="15" t="str">
        <f t="shared" ca="1" si="2"/>
        <v>-</v>
      </c>
      <c r="R97" s="6"/>
      <c r="S97" s="6"/>
      <c r="T97" s="6"/>
      <c r="U97" s="6"/>
      <c r="V97" s="6"/>
      <c r="W97" s="6" t="str">
        <f t="shared" si="3"/>
        <v>-</v>
      </c>
      <c r="X97" s="6"/>
      <c r="Y97" s="6"/>
      <c r="Z97" s="6"/>
      <c r="AA97" s="6"/>
      <c r="AB97" s="6"/>
      <c r="AC97" s="6"/>
    </row>
    <row r="98" spans="1:29" x14ac:dyDescent="0.25">
      <c r="Q98" s="12" t="str">
        <f t="shared" ca="1" si="2"/>
        <v>-</v>
      </c>
      <c r="W98" t="str">
        <f t="shared" si="3"/>
        <v>-</v>
      </c>
    </row>
    <row r="99" spans="1:29" x14ac:dyDescent="0.25">
      <c r="A99" s="6"/>
      <c r="B99" s="10"/>
      <c r="C99" s="6"/>
      <c r="D99" s="6"/>
      <c r="E99" s="6"/>
      <c r="F99" s="6"/>
      <c r="G99" s="6"/>
      <c r="H99" s="6"/>
      <c r="I99" s="6"/>
      <c r="J99" s="6"/>
      <c r="K99" s="6"/>
      <c r="L99" s="6"/>
      <c r="M99" s="6"/>
      <c r="N99" s="6"/>
      <c r="O99" s="6"/>
      <c r="P99" s="10"/>
      <c r="Q99" s="15" t="str">
        <f t="shared" ca="1" si="2"/>
        <v>-</v>
      </c>
      <c r="R99" s="6"/>
      <c r="S99" s="6"/>
      <c r="T99" s="6"/>
      <c r="U99" s="6"/>
      <c r="V99" s="6"/>
      <c r="W99" s="6" t="str">
        <f t="shared" si="3"/>
        <v>-</v>
      </c>
      <c r="X99" s="6"/>
      <c r="Y99" s="6"/>
      <c r="Z99" s="6"/>
      <c r="AA99" s="6"/>
      <c r="AB99" s="6"/>
      <c r="AC99" s="6"/>
    </row>
    <row r="100" spans="1:29" x14ac:dyDescent="0.25">
      <c r="Q100" s="12" t="str">
        <f t="shared" ca="1" si="2"/>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2"/>
        <v>-</v>
      </c>
      <c r="R101" s="6"/>
      <c r="S101" s="6"/>
      <c r="T101" s="6"/>
      <c r="U101" s="6"/>
      <c r="V101" s="6"/>
      <c r="W101" s="6" t="str">
        <f t="shared" si="3"/>
        <v>-</v>
      </c>
      <c r="X101" s="6"/>
      <c r="Y101" s="6"/>
      <c r="Z101" s="6"/>
      <c r="AA101" s="6"/>
      <c r="AB101" s="6"/>
      <c r="AC101" s="6"/>
    </row>
    <row r="102" spans="1:29" x14ac:dyDescent="0.25">
      <c r="Q102" s="12" t="str">
        <f t="shared" ca="1" si="2"/>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2"/>
        <v>-</v>
      </c>
      <c r="R103" s="6"/>
      <c r="S103" s="6"/>
      <c r="T103" s="6"/>
      <c r="U103" s="6"/>
      <c r="V103" s="6"/>
      <c r="W103" s="6" t="str">
        <f t="shared" si="3"/>
        <v>-</v>
      </c>
      <c r="X103" s="6"/>
      <c r="Y103" s="6"/>
      <c r="Z103" s="6"/>
      <c r="AA103" s="6"/>
      <c r="AB103" s="6"/>
      <c r="AC103" s="6"/>
    </row>
    <row r="104" spans="1:29" x14ac:dyDescent="0.25">
      <c r="Q104" s="12" t="str">
        <f t="shared" ca="1" si="2"/>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2"/>
        <v>-</v>
      </c>
      <c r="R105" s="6"/>
      <c r="S105" s="6"/>
      <c r="T105" s="6"/>
      <c r="U105" s="6"/>
      <c r="V105" s="6"/>
      <c r="W105" s="6" t="str">
        <f t="shared" si="3"/>
        <v>-</v>
      </c>
      <c r="X105" s="6"/>
      <c r="Y105" s="6"/>
      <c r="Z105" s="6"/>
      <c r="AA105" s="6"/>
      <c r="AB105" s="6"/>
      <c r="AC105" s="6"/>
    </row>
    <row r="106" spans="1:29" x14ac:dyDescent="0.25">
      <c r="Q106" s="12" t="str">
        <f t="shared" ca="1" si="2"/>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2"/>
        <v>-</v>
      </c>
      <c r="R107" s="6"/>
      <c r="S107" s="6"/>
      <c r="T107" s="6"/>
      <c r="U107" s="6"/>
      <c r="V107" s="6"/>
      <c r="W107" s="6" t="str">
        <f t="shared" si="3"/>
        <v>-</v>
      </c>
      <c r="X107" s="6"/>
      <c r="Y107" s="6"/>
      <c r="Z107" s="6"/>
      <c r="AA107" s="6"/>
      <c r="AB107" s="6"/>
      <c r="AC107" s="6"/>
    </row>
    <row r="108" spans="1:29" x14ac:dyDescent="0.25">
      <c r="Q108" s="12" t="str">
        <f t="shared" ca="1" si="2"/>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2"/>
        <v>-</v>
      </c>
      <c r="R109" s="6"/>
      <c r="S109" s="6"/>
      <c r="T109" s="6"/>
      <c r="U109" s="6"/>
      <c r="V109" s="6"/>
      <c r="W109" s="6" t="str">
        <f t="shared" si="3"/>
        <v>-</v>
      </c>
      <c r="X109" s="6"/>
      <c r="Y109" s="6"/>
      <c r="Z109" s="6"/>
      <c r="AA109" s="6"/>
      <c r="AB109" s="6"/>
      <c r="AC109" s="6"/>
    </row>
    <row r="110" spans="1:29" x14ac:dyDescent="0.25">
      <c r="Q110" s="12" t="str">
        <f t="shared" ca="1" si="2"/>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2"/>
        <v>-</v>
      </c>
      <c r="R111" s="6"/>
      <c r="S111" s="6"/>
      <c r="T111" s="6"/>
      <c r="U111" s="6"/>
      <c r="V111" s="6"/>
      <c r="W111" s="6" t="str">
        <f t="shared" si="3"/>
        <v>-</v>
      </c>
      <c r="X111" s="6"/>
      <c r="Y111" s="6"/>
      <c r="Z111" s="6"/>
      <c r="AA111" s="6"/>
      <c r="AB111" s="6"/>
      <c r="AC111" s="6"/>
    </row>
    <row r="112" spans="1:29" x14ac:dyDescent="0.25">
      <c r="Q112" s="12" t="str">
        <f t="shared" ca="1" si="2"/>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2"/>
        <v>-</v>
      </c>
      <c r="R113" s="6"/>
      <c r="S113" s="6"/>
      <c r="T113" s="6"/>
      <c r="U113" s="6"/>
      <c r="V113" s="6"/>
      <c r="W113" s="6" t="str">
        <f t="shared" si="3"/>
        <v>-</v>
      </c>
      <c r="X113" s="6"/>
      <c r="Y113" s="6"/>
      <c r="Z113" s="6"/>
      <c r="AA113" s="6"/>
      <c r="AB113" s="6"/>
      <c r="AC113" s="6"/>
    </row>
    <row r="114" spans="1:29" x14ac:dyDescent="0.25">
      <c r="Q114" s="12" t="str">
        <f t="shared" ca="1" si="2"/>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2"/>
        <v>-</v>
      </c>
      <c r="R115" s="6"/>
      <c r="S115" s="6"/>
      <c r="T115" s="6"/>
      <c r="U115" s="6"/>
      <c r="V115" s="6"/>
      <c r="W115" s="6" t="str">
        <f t="shared" si="3"/>
        <v>-</v>
      </c>
      <c r="X115" s="6"/>
      <c r="Y115" s="6"/>
      <c r="Z115" s="6"/>
      <c r="AA115" s="6"/>
      <c r="AB115" s="6"/>
      <c r="AC115" s="6"/>
    </row>
    <row r="116" spans="1:29" x14ac:dyDescent="0.25">
      <c r="Q116" s="12" t="str">
        <f t="shared" ca="1" si="2"/>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2"/>
        <v>-</v>
      </c>
      <c r="R117" s="6"/>
      <c r="S117" s="6"/>
      <c r="T117" s="6"/>
      <c r="U117" s="6"/>
      <c r="V117" s="6"/>
      <c r="W117" s="6" t="str">
        <f t="shared" si="3"/>
        <v>-</v>
      </c>
      <c r="X117" s="6"/>
      <c r="Y117" s="6"/>
      <c r="Z117" s="6"/>
      <c r="AA117" s="6"/>
      <c r="AB117" s="6"/>
      <c r="AC117" s="6"/>
    </row>
    <row r="118" spans="1:29" x14ac:dyDescent="0.25">
      <c r="Q118" s="12" t="str">
        <f t="shared" ca="1" si="2"/>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2"/>
        <v>-</v>
      </c>
      <c r="R119" s="6"/>
      <c r="S119" s="6"/>
      <c r="T119" s="6"/>
      <c r="U119" s="6"/>
      <c r="V119" s="6"/>
      <c r="W119" s="6" t="str">
        <f t="shared" si="3"/>
        <v>-</v>
      </c>
      <c r="X119" s="6"/>
      <c r="Y119" s="6"/>
      <c r="Z119" s="6"/>
      <c r="AA119" s="6"/>
      <c r="AB119" s="6"/>
      <c r="AC119" s="6"/>
    </row>
    <row r="120" spans="1:29" x14ac:dyDescent="0.25">
      <c r="Q120" s="12" t="str">
        <f t="shared" ca="1" si="2"/>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2"/>
        <v>-</v>
      </c>
      <c r="R121" s="6"/>
      <c r="S121" s="6"/>
      <c r="T121" s="6"/>
      <c r="U121" s="6"/>
      <c r="V121" s="6"/>
      <c r="W121" s="6" t="str">
        <f t="shared" si="3"/>
        <v>-</v>
      </c>
      <c r="X121" s="6"/>
      <c r="Y121" s="6"/>
      <c r="Z121" s="6"/>
      <c r="AA121" s="6"/>
      <c r="AB121" s="6"/>
      <c r="AC121" s="6"/>
    </row>
    <row r="122" spans="1:29" x14ac:dyDescent="0.25">
      <c r="Q122" s="12" t="str">
        <f t="shared" ca="1" si="2"/>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2"/>
        <v>-</v>
      </c>
      <c r="R123" s="6"/>
      <c r="S123" s="6"/>
      <c r="T123" s="6"/>
      <c r="U123" s="6"/>
      <c r="V123" s="6"/>
      <c r="W123" s="6" t="str">
        <f t="shared" si="3"/>
        <v>-</v>
      </c>
      <c r="X123" s="6"/>
      <c r="Y123" s="6"/>
      <c r="Z123" s="6"/>
      <c r="AA123" s="6"/>
      <c r="AB123" s="6"/>
      <c r="AC123" s="6"/>
    </row>
    <row r="124" spans="1:29" x14ac:dyDescent="0.25">
      <c r="Q124" s="12" t="str">
        <f t="shared" ca="1" si="2"/>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2"/>
        <v>-</v>
      </c>
      <c r="R125" s="6"/>
      <c r="S125" s="6"/>
      <c r="T125" s="6"/>
      <c r="U125" s="6"/>
      <c r="V125" s="6"/>
      <c r="W125" s="6" t="str">
        <f t="shared" si="3"/>
        <v>-</v>
      </c>
      <c r="X125" s="6"/>
      <c r="Y125" s="6"/>
      <c r="Z125" s="6"/>
      <c r="AA125" s="6"/>
      <c r="AB125" s="6"/>
      <c r="AC125" s="6"/>
    </row>
    <row r="126" spans="1:29" x14ac:dyDescent="0.25">
      <c r="Q126" s="12" t="str">
        <f t="shared" ca="1" si="2"/>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2"/>
        <v>-</v>
      </c>
      <c r="R127" s="6"/>
      <c r="S127" s="6"/>
      <c r="T127" s="6"/>
      <c r="U127" s="6"/>
      <c r="V127" s="6"/>
      <c r="W127" s="6" t="str">
        <f t="shared" si="3"/>
        <v>-</v>
      </c>
      <c r="X127" s="6"/>
      <c r="Y127" s="6"/>
      <c r="Z127" s="6"/>
      <c r="AA127" s="6"/>
      <c r="AB127" s="6"/>
      <c r="AC127" s="6"/>
    </row>
    <row r="128" spans="1:29" x14ac:dyDescent="0.25">
      <c r="Q128" s="12" t="str">
        <f t="shared" ca="1" si="2"/>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2"/>
        <v>-</v>
      </c>
      <c r="R129" s="6"/>
      <c r="S129" s="6"/>
      <c r="T129" s="6"/>
      <c r="U129" s="6"/>
      <c r="V129" s="6"/>
      <c r="W129" s="6" t="str">
        <f t="shared" si="3"/>
        <v>-</v>
      </c>
      <c r="X129" s="6"/>
      <c r="Y129" s="6"/>
      <c r="Z129" s="6"/>
      <c r="AA129" s="6"/>
      <c r="AB129" s="6"/>
      <c r="AC129" s="6"/>
    </row>
    <row r="130" spans="1:29" x14ac:dyDescent="0.25">
      <c r="Q130" s="12" t="str">
        <f t="shared" ca="1" si="2"/>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2"/>
        <v>-</v>
      </c>
      <c r="R131" s="6"/>
      <c r="S131" s="6"/>
      <c r="T131" s="6"/>
      <c r="U131" s="6"/>
      <c r="V131" s="6"/>
      <c r="W131" s="6" t="str">
        <f t="shared" si="3"/>
        <v>-</v>
      </c>
      <c r="X131" s="6"/>
      <c r="Y131" s="6"/>
      <c r="Z131" s="6"/>
      <c r="AA131" s="6"/>
      <c r="AB131" s="6"/>
      <c r="AC131" s="6"/>
    </row>
    <row r="132" spans="1:29" x14ac:dyDescent="0.25">
      <c r="Q132" s="12" t="str">
        <f t="shared" ca="1" si="2"/>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ref="Q133:Q196" ca="1" si="4">IF(B133&gt;1/1/1900, (IF(R133="Closed",(DATEDIF(B133,P133,"d"))-(DATEDIF(M133,O133,"d")),IF(OR(R133="Pending",ISBLANK(P133)),TODAY()-B133))),"-")</f>
        <v>-</v>
      </c>
      <c r="R133" s="6"/>
      <c r="S133" s="6"/>
      <c r="T133" s="6"/>
      <c r="U133" s="6"/>
      <c r="V133" s="6"/>
      <c r="W133" s="6" t="str">
        <f t="shared" ref="W133:W150" si="5">IF(OR(ISBLANK(J133),ISBLANK(V133)),"-",(IF(J133=V133,"Yes","No")))</f>
        <v>-</v>
      </c>
      <c r="X133" s="6"/>
      <c r="Y133" s="6"/>
      <c r="Z133" s="6"/>
      <c r="AA133" s="6"/>
      <c r="AB133" s="6"/>
      <c r="AC133" s="6"/>
    </row>
    <row r="134" spans="1:29" x14ac:dyDescent="0.25">
      <c r="Q134" s="12" t="str">
        <f t="shared" ca="1" si="4"/>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4"/>
        <v>-</v>
      </c>
      <c r="R135" s="6"/>
      <c r="S135" s="6"/>
      <c r="T135" s="6"/>
      <c r="U135" s="6"/>
      <c r="V135" s="6"/>
      <c r="W135" s="6" t="str">
        <f t="shared" si="5"/>
        <v>-</v>
      </c>
      <c r="X135" s="6"/>
      <c r="Y135" s="6"/>
      <c r="Z135" s="6"/>
      <c r="AA135" s="6"/>
      <c r="AB135" s="6"/>
      <c r="AC135" s="6"/>
    </row>
    <row r="136" spans="1:29" x14ac:dyDescent="0.25">
      <c r="Q136" s="12" t="str">
        <f t="shared" ca="1" si="4"/>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4"/>
        <v>-</v>
      </c>
      <c r="R137" s="6"/>
      <c r="S137" s="6"/>
      <c r="T137" s="6"/>
      <c r="U137" s="6"/>
      <c r="V137" s="6"/>
      <c r="W137" s="6" t="str">
        <f t="shared" si="5"/>
        <v>-</v>
      </c>
      <c r="X137" s="6"/>
      <c r="Y137" s="6"/>
      <c r="Z137" s="6"/>
      <c r="AA137" s="6"/>
      <c r="AB137" s="6"/>
      <c r="AC137" s="6"/>
    </row>
    <row r="138" spans="1:29" x14ac:dyDescent="0.25">
      <c r="Q138" s="12" t="str">
        <f t="shared" ca="1" si="4"/>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4"/>
        <v>-</v>
      </c>
      <c r="R139" s="6"/>
      <c r="S139" s="6"/>
      <c r="T139" s="6"/>
      <c r="U139" s="6"/>
      <c r="V139" s="6"/>
      <c r="W139" s="6" t="str">
        <f t="shared" si="5"/>
        <v>-</v>
      </c>
      <c r="X139" s="6"/>
      <c r="Y139" s="6"/>
      <c r="Z139" s="6"/>
      <c r="AA139" s="6"/>
      <c r="AB139" s="6"/>
      <c r="AC139" s="6"/>
    </row>
    <row r="140" spans="1:29" x14ac:dyDescent="0.25">
      <c r="Q140" s="12" t="str">
        <f t="shared" ca="1" si="4"/>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4"/>
        <v>-</v>
      </c>
      <c r="R141" s="6"/>
      <c r="S141" s="6"/>
      <c r="T141" s="6"/>
      <c r="U141" s="6"/>
      <c r="V141" s="6"/>
      <c r="W141" s="6" t="str">
        <f t="shared" si="5"/>
        <v>-</v>
      </c>
      <c r="X141" s="6"/>
      <c r="Y141" s="6"/>
      <c r="Z141" s="6"/>
      <c r="AA141" s="6"/>
      <c r="AB141" s="6"/>
      <c r="AC141" s="6"/>
    </row>
    <row r="142" spans="1:29" x14ac:dyDescent="0.25">
      <c r="Q142" s="12" t="str">
        <f t="shared" ca="1" si="4"/>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4"/>
        <v>-</v>
      </c>
      <c r="R143" s="6"/>
      <c r="S143" s="6"/>
      <c r="T143" s="6"/>
      <c r="U143" s="6"/>
      <c r="V143" s="6"/>
      <c r="W143" s="6" t="str">
        <f t="shared" si="5"/>
        <v>-</v>
      </c>
      <c r="X143" s="6"/>
      <c r="Y143" s="6"/>
      <c r="Z143" s="6"/>
      <c r="AA143" s="6"/>
      <c r="AB143" s="6"/>
      <c r="AC143" s="6"/>
    </row>
    <row r="144" spans="1:29" x14ac:dyDescent="0.25">
      <c r="Q144" s="12" t="str">
        <f t="shared" ca="1" si="4"/>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4"/>
        <v>-</v>
      </c>
      <c r="R145" s="6"/>
      <c r="S145" s="6"/>
      <c r="T145" s="6"/>
      <c r="U145" s="6"/>
      <c r="V145" s="6"/>
      <c r="W145" s="6" t="str">
        <f t="shared" si="5"/>
        <v>-</v>
      </c>
      <c r="X145" s="6"/>
      <c r="Y145" s="6"/>
      <c r="Z145" s="6"/>
      <c r="AA145" s="6"/>
      <c r="AB145" s="6"/>
      <c r="AC145" s="6"/>
    </row>
    <row r="146" spans="1:29" x14ac:dyDescent="0.25">
      <c r="Q146" s="12" t="str">
        <f t="shared" ca="1" si="4"/>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4"/>
        <v>-</v>
      </c>
      <c r="R147" s="6"/>
      <c r="S147" s="6"/>
      <c r="T147" s="6"/>
      <c r="U147" s="6"/>
      <c r="V147" s="6"/>
      <c r="W147" s="6" t="str">
        <f t="shared" si="5"/>
        <v>-</v>
      </c>
      <c r="X147" s="6"/>
      <c r="Y147" s="6"/>
      <c r="Z147" s="6"/>
      <c r="AA147" s="6"/>
      <c r="AB147" s="6"/>
      <c r="AC147" s="6"/>
    </row>
    <row r="148" spans="1:29" x14ac:dyDescent="0.25">
      <c r="Q148" s="12" t="str">
        <f t="shared" ca="1" si="4"/>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4"/>
        <v>-</v>
      </c>
      <c r="R149" s="6"/>
      <c r="S149" s="6"/>
      <c r="T149" s="6"/>
      <c r="U149" s="6"/>
      <c r="V149" s="6"/>
      <c r="W149" s="6" t="str">
        <f t="shared" si="5"/>
        <v>-</v>
      </c>
      <c r="X149" s="6"/>
      <c r="Y149" s="6"/>
      <c r="Z149" s="6"/>
      <c r="AA149" s="6"/>
      <c r="AB149" s="6"/>
      <c r="AC149" s="6"/>
    </row>
    <row r="150" spans="1:29" x14ac:dyDescent="0.25">
      <c r="Q150" s="12" t="str">
        <f t="shared" ca="1" si="4"/>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4"/>
        <v>-</v>
      </c>
      <c r="R151" s="6"/>
      <c r="S151" s="6"/>
      <c r="T151" s="6"/>
      <c r="U151" s="6"/>
      <c r="V151" s="6"/>
      <c r="W151" s="6" t="str">
        <f t="shared" ref="W151:W196" si="6">IF(OR(ISBLANK(J151),ISBLANK(V151)),"-",(IF(J151=V151,"Yes","No")))</f>
        <v>-</v>
      </c>
      <c r="X151" s="6"/>
      <c r="Y151" s="6"/>
      <c r="Z151" s="6"/>
      <c r="AA151" s="6"/>
      <c r="AB151" s="6"/>
      <c r="AC151" s="6"/>
    </row>
    <row r="152" spans="1:29" x14ac:dyDescent="0.25">
      <c r="Q152" s="12" t="str">
        <f t="shared" ca="1" si="4"/>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4"/>
        <v>-</v>
      </c>
      <c r="R153" s="6"/>
      <c r="S153" s="6"/>
      <c r="T153" s="6"/>
      <c r="U153" s="6"/>
      <c r="V153" s="6"/>
      <c r="W153" s="6" t="str">
        <f t="shared" si="6"/>
        <v>-</v>
      </c>
      <c r="X153" s="6"/>
      <c r="Y153" s="6"/>
      <c r="Z153" s="6"/>
      <c r="AA153" s="6"/>
      <c r="AB153" s="6"/>
      <c r="AC153" s="6"/>
    </row>
    <row r="154" spans="1:29" x14ac:dyDescent="0.25">
      <c r="Q154" s="12" t="str">
        <f t="shared" ca="1" si="4"/>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4"/>
        <v>-</v>
      </c>
      <c r="R155" s="6"/>
      <c r="S155" s="6"/>
      <c r="T155" s="6"/>
      <c r="U155" s="6"/>
      <c r="V155" s="6"/>
      <c r="W155" s="6" t="str">
        <f t="shared" si="6"/>
        <v>-</v>
      </c>
      <c r="X155" s="6"/>
      <c r="Y155" s="6"/>
      <c r="Z155" s="6"/>
      <c r="AA155" s="6"/>
      <c r="AB155" s="6"/>
      <c r="AC155" s="6"/>
    </row>
    <row r="156" spans="1:29" x14ac:dyDescent="0.25">
      <c r="Q156" s="12" t="str">
        <f t="shared" ca="1" si="4"/>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4"/>
        <v>-</v>
      </c>
      <c r="R157" s="6"/>
      <c r="S157" s="6"/>
      <c r="T157" s="6"/>
      <c r="U157" s="6"/>
      <c r="V157" s="6"/>
      <c r="W157" s="6" t="str">
        <f t="shared" si="6"/>
        <v>-</v>
      </c>
      <c r="X157" s="6"/>
      <c r="Y157" s="6"/>
      <c r="Z157" s="6"/>
      <c r="AA157" s="6"/>
      <c r="AB157" s="6"/>
      <c r="AC157" s="6"/>
    </row>
    <row r="158" spans="1:29" x14ac:dyDescent="0.25">
      <c r="Q158" s="12" t="str">
        <f t="shared" ca="1" si="4"/>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4"/>
        <v>-</v>
      </c>
      <c r="R159" s="6"/>
      <c r="S159" s="6"/>
      <c r="T159" s="6"/>
      <c r="U159" s="6"/>
      <c r="V159" s="6"/>
      <c r="W159" s="6" t="str">
        <f t="shared" si="6"/>
        <v>-</v>
      </c>
      <c r="X159" s="6"/>
      <c r="Y159" s="6"/>
      <c r="Z159" s="6"/>
      <c r="AA159" s="6"/>
      <c r="AB159" s="6"/>
      <c r="AC159" s="6"/>
    </row>
    <row r="160" spans="1:29" x14ac:dyDescent="0.25">
      <c r="Q160" s="12" t="str">
        <f t="shared" ca="1" si="4"/>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4"/>
        <v>-</v>
      </c>
      <c r="R161" s="6"/>
      <c r="S161" s="6"/>
      <c r="T161" s="6"/>
      <c r="U161" s="6"/>
      <c r="V161" s="6"/>
      <c r="W161" s="6" t="str">
        <f t="shared" si="6"/>
        <v>-</v>
      </c>
      <c r="X161" s="6"/>
      <c r="Y161" s="6"/>
      <c r="Z161" s="6"/>
      <c r="AA161" s="6"/>
      <c r="AB161" s="6"/>
      <c r="AC161" s="6"/>
    </row>
    <row r="162" spans="1:29" x14ac:dyDescent="0.25">
      <c r="Q162" s="12" t="str">
        <f t="shared" ca="1" si="4"/>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4"/>
        <v>-</v>
      </c>
      <c r="R163" s="6"/>
      <c r="S163" s="6"/>
      <c r="T163" s="6"/>
      <c r="U163" s="6"/>
      <c r="V163" s="6"/>
      <c r="W163" s="6" t="str">
        <f t="shared" si="6"/>
        <v>-</v>
      </c>
      <c r="X163" s="6"/>
      <c r="Y163" s="6"/>
      <c r="Z163" s="6"/>
      <c r="AA163" s="6"/>
      <c r="AB163" s="6"/>
      <c r="AC163" s="6"/>
    </row>
    <row r="164" spans="1:29" x14ac:dyDescent="0.25">
      <c r="Q164" s="12" t="str">
        <f t="shared" ca="1" si="4"/>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4"/>
        <v>-</v>
      </c>
      <c r="R165" s="6"/>
      <c r="S165" s="6"/>
      <c r="T165" s="6"/>
      <c r="U165" s="6"/>
      <c r="V165" s="6"/>
      <c r="W165" s="6" t="str">
        <f t="shared" si="6"/>
        <v>-</v>
      </c>
      <c r="X165" s="6"/>
      <c r="Y165" s="6"/>
      <c r="Z165" s="6"/>
      <c r="AA165" s="6"/>
      <c r="AB165" s="6"/>
      <c r="AC165" s="6"/>
    </row>
    <row r="166" spans="1:29" x14ac:dyDescent="0.25">
      <c r="Q166" s="12" t="str">
        <f t="shared" ca="1" si="4"/>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4"/>
        <v>-</v>
      </c>
      <c r="R167" s="6"/>
      <c r="S167" s="6"/>
      <c r="T167" s="6"/>
      <c r="U167" s="6"/>
      <c r="V167" s="6"/>
      <c r="W167" s="6" t="str">
        <f t="shared" si="6"/>
        <v>-</v>
      </c>
      <c r="X167" s="6"/>
      <c r="Y167" s="6"/>
      <c r="Z167" s="6"/>
      <c r="AA167" s="6"/>
      <c r="AB167" s="6"/>
      <c r="AC167" s="6"/>
    </row>
    <row r="168" spans="1:29" x14ac:dyDescent="0.25">
      <c r="Q168" s="12" t="str">
        <f t="shared" ca="1" si="4"/>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4"/>
        <v>-</v>
      </c>
      <c r="R169" s="6"/>
      <c r="S169" s="6"/>
      <c r="T169" s="6"/>
      <c r="U169" s="6"/>
      <c r="V169" s="6"/>
      <c r="W169" s="6" t="str">
        <f t="shared" si="6"/>
        <v>-</v>
      </c>
      <c r="X169" s="6"/>
      <c r="Y169" s="6"/>
      <c r="Z169" s="6"/>
      <c r="AA169" s="6"/>
      <c r="AB169" s="6"/>
      <c r="AC169" s="6"/>
    </row>
    <row r="170" spans="1:29" x14ac:dyDescent="0.25">
      <c r="Q170" s="12" t="str">
        <f t="shared" ca="1" si="4"/>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4"/>
        <v>-</v>
      </c>
      <c r="R171" s="6"/>
      <c r="S171" s="6"/>
      <c r="T171" s="6"/>
      <c r="U171" s="6"/>
      <c r="V171" s="6"/>
      <c r="W171" s="6" t="str">
        <f t="shared" si="6"/>
        <v>-</v>
      </c>
      <c r="X171" s="6"/>
      <c r="Y171" s="6"/>
      <c r="Z171" s="6"/>
      <c r="AA171" s="6"/>
      <c r="AB171" s="6"/>
      <c r="AC171" s="6"/>
    </row>
    <row r="172" spans="1:29" x14ac:dyDescent="0.25">
      <c r="Q172" s="12" t="str">
        <f t="shared" ca="1" si="4"/>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4"/>
        <v>-</v>
      </c>
      <c r="R173" s="6"/>
      <c r="S173" s="6"/>
      <c r="T173" s="6"/>
      <c r="U173" s="6"/>
      <c r="V173" s="6"/>
      <c r="W173" s="6" t="str">
        <f t="shared" si="6"/>
        <v>-</v>
      </c>
      <c r="X173" s="6"/>
      <c r="Y173" s="6"/>
      <c r="Z173" s="6"/>
      <c r="AA173" s="6"/>
      <c r="AB173" s="6"/>
      <c r="AC173" s="6"/>
    </row>
    <row r="174" spans="1:29" x14ac:dyDescent="0.25">
      <c r="Q174" s="12" t="str">
        <f t="shared" ca="1" si="4"/>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4"/>
        <v>-</v>
      </c>
      <c r="R175" s="6"/>
      <c r="S175" s="6"/>
      <c r="T175" s="6"/>
      <c r="U175" s="6"/>
      <c r="V175" s="6"/>
      <c r="W175" s="6" t="str">
        <f t="shared" si="6"/>
        <v>-</v>
      </c>
      <c r="X175" s="6"/>
      <c r="Y175" s="6"/>
      <c r="Z175" s="6"/>
      <c r="AA175" s="6"/>
      <c r="AB175" s="6"/>
      <c r="AC175" s="6"/>
    </row>
    <row r="176" spans="1:29" x14ac:dyDescent="0.25">
      <c r="Q176" s="12" t="str">
        <f t="shared" ca="1" si="4"/>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4"/>
        <v>-</v>
      </c>
      <c r="R177" s="6"/>
      <c r="S177" s="6"/>
      <c r="T177" s="6"/>
      <c r="U177" s="6"/>
      <c r="V177" s="6"/>
      <c r="W177" s="6" t="str">
        <f t="shared" si="6"/>
        <v>-</v>
      </c>
      <c r="X177" s="6"/>
      <c r="Y177" s="6"/>
      <c r="Z177" s="6"/>
      <c r="AA177" s="6"/>
      <c r="AB177" s="6"/>
      <c r="AC177" s="6"/>
    </row>
    <row r="178" spans="1:29" x14ac:dyDescent="0.25">
      <c r="Q178" s="12" t="str">
        <f t="shared" ca="1" si="4"/>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4"/>
        <v>-</v>
      </c>
      <c r="R179" s="6"/>
      <c r="S179" s="6"/>
      <c r="T179" s="6"/>
      <c r="U179" s="6"/>
      <c r="V179" s="6"/>
      <c r="W179" s="6" t="str">
        <f t="shared" si="6"/>
        <v>-</v>
      </c>
      <c r="X179" s="6"/>
      <c r="Y179" s="6"/>
      <c r="Z179" s="6"/>
      <c r="AA179" s="6"/>
      <c r="AB179" s="6"/>
      <c r="AC179" s="6"/>
    </row>
    <row r="180" spans="1:29" x14ac:dyDescent="0.25">
      <c r="Q180" s="12" t="str">
        <f t="shared" ca="1" si="4"/>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4"/>
        <v>-</v>
      </c>
      <c r="R181" s="6"/>
      <c r="S181" s="6"/>
      <c r="T181" s="6"/>
      <c r="U181" s="6"/>
      <c r="V181" s="6"/>
      <c r="W181" s="6" t="str">
        <f t="shared" si="6"/>
        <v>-</v>
      </c>
      <c r="X181" s="6"/>
      <c r="Y181" s="6"/>
      <c r="Z181" s="6"/>
      <c r="AA181" s="6"/>
      <c r="AB181" s="6"/>
      <c r="AC181" s="6"/>
    </row>
    <row r="182" spans="1:29" x14ac:dyDescent="0.25">
      <c r="Q182" s="12" t="str">
        <f t="shared" ca="1" si="4"/>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4"/>
        <v>-</v>
      </c>
      <c r="R183" s="6"/>
      <c r="S183" s="6"/>
      <c r="T183" s="6"/>
      <c r="U183" s="6"/>
      <c r="V183" s="6"/>
      <c r="W183" s="6" t="str">
        <f t="shared" si="6"/>
        <v>-</v>
      </c>
      <c r="X183" s="6"/>
      <c r="Y183" s="6"/>
      <c r="Z183" s="6"/>
      <c r="AA183" s="6"/>
      <c r="AB183" s="6"/>
      <c r="AC183" s="6"/>
    </row>
    <row r="184" spans="1:29" x14ac:dyDescent="0.25">
      <c r="Q184" s="12" t="str">
        <f t="shared" ca="1" si="4"/>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4"/>
        <v>-</v>
      </c>
      <c r="R185" s="6"/>
      <c r="S185" s="6"/>
      <c r="T185" s="6"/>
      <c r="U185" s="6"/>
      <c r="V185" s="6"/>
      <c r="W185" s="6" t="str">
        <f t="shared" si="6"/>
        <v>-</v>
      </c>
      <c r="X185" s="6"/>
      <c r="Y185" s="6"/>
      <c r="Z185" s="6"/>
      <c r="AA185" s="6"/>
      <c r="AB185" s="6"/>
      <c r="AC185" s="6"/>
    </row>
    <row r="186" spans="1:29" x14ac:dyDescent="0.25">
      <c r="Q186" s="12" t="str">
        <f t="shared" ca="1" si="4"/>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4"/>
        <v>-</v>
      </c>
      <c r="R187" s="6"/>
      <c r="S187" s="6"/>
      <c r="T187" s="6"/>
      <c r="U187" s="6"/>
      <c r="V187" s="6"/>
      <c r="W187" s="6" t="str">
        <f t="shared" si="6"/>
        <v>-</v>
      </c>
      <c r="X187" s="6"/>
      <c r="Y187" s="6"/>
      <c r="Z187" s="6"/>
      <c r="AA187" s="6"/>
      <c r="AB187" s="6"/>
      <c r="AC187" s="6"/>
    </row>
    <row r="188" spans="1:29" x14ac:dyDescent="0.25">
      <c r="Q188" s="12" t="str">
        <f t="shared" ca="1" si="4"/>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4"/>
        <v>-</v>
      </c>
      <c r="R189" s="6"/>
      <c r="S189" s="6"/>
      <c r="T189" s="6"/>
      <c r="U189" s="6"/>
      <c r="V189" s="6"/>
      <c r="W189" s="6" t="str">
        <f t="shared" si="6"/>
        <v>-</v>
      </c>
      <c r="X189" s="6"/>
      <c r="Y189" s="6"/>
      <c r="Z189" s="6"/>
      <c r="AA189" s="6"/>
      <c r="AB189" s="6"/>
      <c r="AC189" s="6"/>
    </row>
    <row r="190" spans="1:29" x14ac:dyDescent="0.25">
      <c r="Q190" s="12" t="str">
        <f t="shared" ca="1" si="4"/>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4"/>
        <v>-</v>
      </c>
      <c r="R191" s="6"/>
      <c r="S191" s="6"/>
      <c r="T191" s="6"/>
      <c r="U191" s="6"/>
      <c r="V191" s="6"/>
      <c r="W191" s="6" t="str">
        <f t="shared" si="6"/>
        <v>-</v>
      </c>
      <c r="X191" s="6"/>
      <c r="Y191" s="6"/>
      <c r="Z191" s="6"/>
      <c r="AA191" s="6"/>
      <c r="AB191" s="6"/>
      <c r="AC191" s="6"/>
    </row>
    <row r="192" spans="1:29" x14ac:dyDescent="0.25">
      <c r="Q192" s="12" t="str">
        <f t="shared" ca="1" si="4"/>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4"/>
        <v>-</v>
      </c>
      <c r="R193" s="6"/>
      <c r="S193" s="6"/>
      <c r="T193" s="6"/>
      <c r="U193" s="6"/>
      <c r="V193" s="6"/>
      <c r="W193" s="6" t="str">
        <f t="shared" si="6"/>
        <v>-</v>
      </c>
      <c r="X193" s="6"/>
      <c r="Y193" s="6"/>
      <c r="Z193" s="6"/>
      <c r="AA193" s="6"/>
      <c r="AB193" s="6"/>
      <c r="AC193" s="6"/>
    </row>
    <row r="194" spans="1:29" x14ac:dyDescent="0.25">
      <c r="Q194" s="12" t="str">
        <f t="shared" ca="1" si="4"/>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4"/>
        <v>-</v>
      </c>
      <c r="R195" s="6"/>
      <c r="S195" s="6"/>
      <c r="T195" s="6"/>
      <c r="U195" s="6"/>
      <c r="V195" s="6"/>
      <c r="W195" s="6" t="str">
        <f t="shared" si="6"/>
        <v>-</v>
      </c>
      <c r="X195" s="6"/>
      <c r="Y195" s="6"/>
      <c r="Z195" s="6"/>
      <c r="AA195" s="6"/>
      <c r="AB195" s="6"/>
      <c r="AC195" s="6"/>
    </row>
    <row r="196" spans="1:29" x14ac:dyDescent="0.25">
      <c r="Q196" s="12" t="str">
        <f t="shared" ca="1" si="4"/>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ref="Q197:Q260" ca="1" si="7">IF(B197&gt;1/1/1900, (IF(R197="Closed",(DATEDIF(B197,P197,"d"))-(DATEDIF(M197,O197,"d")),IF(OR(R197="Pending",ISBLANK(P197)),TODAY()-B197))),"-")</f>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ca="1" si="7"/>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7"/>
        <v>-</v>
      </c>
      <c r="R199" s="6"/>
      <c r="S199" s="6"/>
      <c r="T199" s="6"/>
      <c r="U199" s="6"/>
      <c r="V199" s="6"/>
      <c r="W199" s="6" t="str">
        <f t="shared" si="8"/>
        <v>-</v>
      </c>
      <c r="X199" s="6"/>
      <c r="Y199" s="6"/>
      <c r="Z199" s="6"/>
      <c r="AA199" s="6"/>
      <c r="AB199" s="6"/>
      <c r="AC199" s="6"/>
    </row>
    <row r="200" spans="1:29" x14ac:dyDescent="0.25">
      <c r="Q200" s="12" t="str">
        <f t="shared" ca="1" si="7"/>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7"/>
        <v>-</v>
      </c>
      <c r="R201" s="6"/>
      <c r="S201" s="6"/>
      <c r="T201" s="6"/>
      <c r="U201" s="6"/>
      <c r="V201" s="6"/>
      <c r="W201" s="6" t="str">
        <f t="shared" si="8"/>
        <v>-</v>
      </c>
      <c r="X201" s="6"/>
      <c r="Y201" s="6"/>
      <c r="Z201" s="6"/>
      <c r="AA201" s="6"/>
      <c r="AB201" s="6"/>
      <c r="AC201" s="6"/>
    </row>
    <row r="202" spans="1:29" x14ac:dyDescent="0.25">
      <c r="Q202" s="12" t="str">
        <f t="shared" ca="1" si="7"/>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7"/>
        <v>-</v>
      </c>
      <c r="R203" s="6"/>
      <c r="S203" s="6"/>
      <c r="T203" s="6"/>
      <c r="U203" s="6"/>
      <c r="V203" s="6"/>
      <c r="W203" s="6" t="str">
        <f t="shared" si="8"/>
        <v>-</v>
      </c>
      <c r="X203" s="6"/>
      <c r="Y203" s="6"/>
      <c r="Z203" s="6"/>
      <c r="AA203" s="6"/>
      <c r="AB203" s="6"/>
      <c r="AC203" s="6"/>
    </row>
    <row r="204" spans="1:29" x14ac:dyDescent="0.25">
      <c r="Q204" s="12" t="str">
        <f t="shared" ca="1" si="7"/>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7"/>
        <v>-</v>
      </c>
      <c r="R205" s="6"/>
      <c r="S205" s="6"/>
      <c r="T205" s="6"/>
      <c r="U205" s="6"/>
      <c r="V205" s="6"/>
      <c r="W205" s="6" t="str">
        <f t="shared" si="8"/>
        <v>-</v>
      </c>
      <c r="X205" s="6"/>
      <c r="Y205" s="6"/>
      <c r="Z205" s="6"/>
      <c r="AA205" s="6"/>
      <c r="AB205" s="6"/>
      <c r="AC205" s="6"/>
    </row>
    <row r="206" spans="1:29" x14ac:dyDescent="0.25">
      <c r="Q206" s="12" t="str">
        <f t="shared" ca="1" si="7"/>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7"/>
        <v>-</v>
      </c>
      <c r="R207" s="6"/>
      <c r="S207" s="6"/>
      <c r="T207" s="6"/>
      <c r="U207" s="6"/>
      <c r="V207" s="6"/>
      <c r="W207" s="6" t="str">
        <f t="shared" si="8"/>
        <v>-</v>
      </c>
      <c r="X207" s="6"/>
      <c r="Y207" s="6"/>
      <c r="Z207" s="6"/>
      <c r="AA207" s="6"/>
      <c r="AB207" s="6"/>
      <c r="AC207" s="6"/>
    </row>
    <row r="208" spans="1:29" x14ac:dyDescent="0.25">
      <c r="Q208" s="12" t="str">
        <f t="shared" ca="1" si="7"/>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7"/>
        <v>-</v>
      </c>
      <c r="R209" s="6"/>
      <c r="S209" s="6"/>
      <c r="T209" s="6"/>
      <c r="U209" s="6"/>
      <c r="V209" s="6"/>
      <c r="W209" s="6" t="str">
        <f t="shared" si="8"/>
        <v>-</v>
      </c>
      <c r="X209" s="6"/>
      <c r="Y209" s="6"/>
      <c r="Z209" s="6"/>
      <c r="AA209" s="6"/>
      <c r="AB209" s="6"/>
      <c r="AC209" s="6"/>
    </row>
    <row r="210" spans="1:29" x14ac:dyDescent="0.25">
      <c r="Q210" s="12" t="str">
        <f t="shared" ca="1" si="7"/>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7"/>
        <v>-</v>
      </c>
      <c r="R211" s="6"/>
      <c r="S211" s="6"/>
      <c r="T211" s="6"/>
      <c r="U211" s="6"/>
      <c r="V211" s="6"/>
      <c r="W211" s="6" t="str">
        <f t="shared" si="8"/>
        <v>-</v>
      </c>
      <c r="X211" s="6"/>
      <c r="Y211" s="6"/>
      <c r="Z211" s="6"/>
      <c r="AA211" s="6"/>
      <c r="AB211" s="6"/>
      <c r="AC211" s="6"/>
    </row>
    <row r="212" spans="1:29" x14ac:dyDescent="0.25">
      <c r="Q212" s="12" t="str">
        <f t="shared" ca="1" si="7"/>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7"/>
        <v>-</v>
      </c>
      <c r="R213" s="6"/>
      <c r="S213" s="6"/>
      <c r="T213" s="6"/>
      <c r="U213" s="6"/>
      <c r="V213" s="6"/>
      <c r="W213" s="6" t="str">
        <f t="shared" si="8"/>
        <v>-</v>
      </c>
      <c r="X213" s="6"/>
      <c r="Y213" s="6"/>
      <c r="Z213" s="6"/>
      <c r="AA213" s="6"/>
      <c r="AB213" s="6"/>
      <c r="AC213" s="6"/>
    </row>
    <row r="214" spans="1:29" x14ac:dyDescent="0.25">
      <c r="Q214" s="12" t="str">
        <f t="shared" ca="1" si="7"/>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7"/>
        <v>-</v>
      </c>
      <c r="R215" s="6"/>
      <c r="S215" s="6"/>
      <c r="T215" s="6"/>
      <c r="U215" s="6"/>
      <c r="V215" s="6"/>
      <c r="W215" s="6" t="str">
        <f t="shared" si="8"/>
        <v>-</v>
      </c>
      <c r="X215" s="6"/>
      <c r="Y215" s="6"/>
      <c r="Z215" s="6"/>
      <c r="AA215" s="6"/>
      <c r="AB215" s="6"/>
      <c r="AC215" s="6"/>
    </row>
    <row r="216" spans="1:29" x14ac:dyDescent="0.25">
      <c r="Q216" s="12" t="str">
        <f t="shared" ca="1" si="7"/>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7"/>
        <v>-</v>
      </c>
      <c r="R217" s="6"/>
      <c r="S217" s="6"/>
      <c r="T217" s="6"/>
      <c r="U217" s="6"/>
      <c r="V217" s="6"/>
      <c r="W217" s="6" t="str">
        <f t="shared" si="8"/>
        <v>-</v>
      </c>
      <c r="X217" s="6"/>
      <c r="Y217" s="6"/>
      <c r="Z217" s="6"/>
      <c r="AA217" s="6"/>
      <c r="AB217" s="6"/>
      <c r="AC217" s="6"/>
    </row>
    <row r="218" spans="1:29" x14ac:dyDescent="0.25">
      <c r="Q218" s="12" t="str">
        <f t="shared" ca="1" si="7"/>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7"/>
        <v>-</v>
      </c>
      <c r="R219" s="6"/>
      <c r="S219" s="6"/>
      <c r="T219" s="6"/>
      <c r="U219" s="6"/>
      <c r="V219" s="6"/>
      <c r="W219" s="6" t="str">
        <f t="shared" si="8"/>
        <v>-</v>
      </c>
      <c r="X219" s="6"/>
      <c r="Y219" s="6"/>
      <c r="Z219" s="6"/>
      <c r="AA219" s="6"/>
      <c r="AB219" s="6"/>
      <c r="AC219" s="6"/>
    </row>
    <row r="220" spans="1:29" x14ac:dyDescent="0.25">
      <c r="Q220" s="12" t="str">
        <f t="shared" ca="1" si="7"/>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7"/>
        <v>-</v>
      </c>
      <c r="R221" s="6"/>
      <c r="S221" s="6"/>
      <c r="T221" s="6"/>
      <c r="U221" s="6"/>
      <c r="V221" s="6"/>
      <c r="W221" s="6" t="str">
        <f t="shared" si="8"/>
        <v>-</v>
      </c>
      <c r="X221" s="6"/>
      <c r="Y221" s="6"/>
      <c r="Z221" s="6"/>
      <c r="AA221" s="6"/>
      <c r="AB221" s="6"/>
      <c r="AC221" s="6"/>
    </row>
    <row r="222" spans="1:29" x14ac:dyDescent="0.25">
      <c r="Q222" s="12" t="str">
        <f t="shared" ca="1" si="7"/>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7"/>
        <v>-</v>
      </c>
      <c r="R223" s="6"/>
      <c r="S223" s="6"/>
      <c r="T223" s="6"/>
      <c r="U223" s="6"/>
      <c r="V223" s="6"/>
      <c r="W223" s="6" t="str">
        <f t="shared" si="8"/>
        <v>-</v>
      </c>
      <c r="X223" s="6"/>
      <c r="Y223" s="6"/>
      <c r="Z223" s="6"/>
      <c r="AA223" s="6"/>
      <c r="AB223" s="6"/>
      <c r="AC223" s="6"/>
    </row>
    <row r="224" spans="1:29" x14ac:dyDescent="0.25">
      <c r="Q224" s="12" t="str">
        <f t="shared" ca="1" si="7"/>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7"/>
        <v>-</v>
      </c>
      <c r="R225" s="6"/>
      <c r="S225" s="6"/>
      <c r="T225" s="6"/>
      <c r="U225" s="6"/>
      <c r="V225" s="6"/>
      <c r="W225" s="6" t="str">
        <f t="shared" si="8"/>
        <v>-</v>
      </c>
      <c r="X225" s="6"/>
      <c r="Y225" s="6"/>
      <c r="Z225" s="6"/>
      <c r="AA225" s="6"/>
      <c r="AB225" s="6"/>
      <c r="AC225" s="6"/>
    </row>
    <row r="226" spans="1:29" x14ac:dyDescent="0.25">
      <c r="Q226" s="12" t="str">
        <f t="shared" ca="1" si="7"/>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7"/>
        <v>-</v>
      </c>
      <c r="R227" s="6"/>
      <c r="S227" s="6"/>
      <c r="T227" s="6"/>
      <c r="U227" s="6"/>
      <c r="V227" s="6"/>
      <c r="W227" s="6" t="str">
        <f t="shared" si="8"/>
        <v>-</v>
      </c>
      <c r="X227" s="6"/>
      <c r="Y227" s="6"/>
      <c r="Z227" s="6"/>
      <c r="AA227" s="6"/>
      <c r="AB227" s="6"/>
      <c r="AC227" s="6"/>
    </row>
    <row r="228" spans="1:29" x14ac:dyDescent="0.25">
      <c r="Q228" s="12" t="str">
        <f t="shared" ca="1" si="7"/>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7"/>
        <v>-</v>
      </c>
      <c r="R229" s="6"/>
      <c r="S229" s="6"/>
      <c r="T229" s="6"/>
      <c r="U229" s="6"/>
      <c r="V229" s="6"/>
      <c r="W229" s="6" t="str">
        <f t="shared" si="8"/>
        <v>-</v>
      </c>
      <c r="X229" s="6"/>
      <c r="Y229" s="6"/>
      <c r="Z229" s="6"/>
      <c r="AA229" s="6"/>
      <c r="AB229" s="6"/>
      <c r="AC229" s="6"/>
    </row>
    <row r="230" spans="1:29" x14ac:dyDescent="0.25">
      <c r="Q230" s="12" t="str">
        <f t="shared" ca="1" si="7"/>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7"/>
        <v>-</v>
      </c>
      <c r="R231" s="6"/>
      <c r="S231" s="6"/>
      <c r="T231" s="6"/>
      <c r="U231" s="6"/>
      <c r="V231" s="6"/>
      <c r="W231" s="6" t="str">
        <f t="shared" si="8"/>
        <v>-</v>
      </c>
      <c r="X231" s="6"/>
      <c r="Y231" s="6"/>
      <c r="Z231" s="6"/>
      <c r="AA231" s="6"/>
      <c r="AB231" s="6"/>
      <c r="AC231" s="6"/>
    </row>
    <row r="232" spans="1:29" x14ac:dyDescent="0.25">
      <c r="Q232" s="12" t="str">
        <f t="shared" ca="1" si="7"/>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7"/>
        <v>-</v>
      </c>
      <c r="R233" s="6"/>
      <c r="S233" s="6"/>
      <c r="T233" s="6"/>
      <c r="U233" s="6"/>
      <c r="V233" s="6"/>
      <c r="W233" s="6" t="str">
        <f t="shared" si="8"/>
        <v>-</v>
      </c>
      <c r="X233" s="6"/>
      <c r="Y233" s="6"/>
      <c r="Z233" s="6"/>
      <c r="AA233" s="6"/>
      <c r="AB233" s="6"/>
      <c r="AC233" s="6"/>
    </row>
    <row r="234" spans="1:29" x14ac:dyDescent="0.25">
      <c r="Q234" s="12" t="str">
        <f t="shared" ca="1" si="7"/>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7"/>
        <v>-</v>
      </c>
      <c r="R235" s="6"/>
      <c r="S235" s="6"/>
      <c r="T235" s="6"/>
      <c r="U235" s="6"/>
      <c r="V235" s="6"/>
      <c r="W235" s="6" t="str">
        <f t="shared" si="8"/>
        <v>-</v>
      </c>
      <c r="X235" s="6"/>
      <c r="Y235" s="6"/>
      <c r="Z235" s="6"/>
      <c r="AA235" s="6"/>
      <c r="AB235" s="6"/>
      <c r="AC235" s="6"/>
    </row>
    <row r="236" spans="1:29" x14ac:dyDescent="0.25">
      <c r="Q236" s="12" t="str">
        <f t="shared" ca="1" si="7"/>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7"/>
        <v>-</v>
      </c>
      <c r="R237" s="6"/>
      <c r="S237" s="6"/>
      <c r="T237" s="6"/>
      <c r="U237" s="6"/>
      <c r="V237" s="6"/>
      <c r="W237" s="6" t="str">
        <f t="shared" si="8"/>
        <v>-</v>
      </c>
      <c r="X237" s="6"/>
      <c r="Y237" s="6"/>
      <c r="Z237" s="6"/>
      <c r="AA237" s="6"/>
      <c r="AB237" s="6"/>
      <c r="AC237" s="6"/>
    </row>
    <row r="238" spans="1:29" x14ac:dyDescent="0.25">
      <c r="Q238" s="12" t="str">
        <f t="shared" ca="1" si="7"/>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7"/>
        <v>-</v>
      </c>
      <c r="R239" s="6"/>
      <c r="S239" s="6"/>
      <c r="T239" s="6"/>
      <c r="U239" s="6"/>
      <c r="V239" s="6"/>
      <c r="W239" s="6" t="str">
        <f t="shared" si="8"/>
        <v>-</v>
      </c>
      <c r="X239" s="6"/>
      <c r="Y239" s="6"/>
      <c r="Z239" s="6"/>
      <c r="AA239" s="6"/>
      <c r="AB239" s="6"/>
      <c r="AC239" s="6"/>
    </row>
    <row r="240" spans="1:29" x14ac:dyDescent="0.25">
      <c r="Q240" s="12" t="str">
        <f t="shared" ca="1" si="7"/>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7"/>
        <v>-</v>
      </c>
      <c r="R241" s="6"/>
      <c r="S241" s="6"/>
      <c r="T241" s="6"/>
      <c r="U241" s="6"/>
      <c r="V241" s="6"/>
      <c r="W241" s="6" t="str">
        <f t="shared" si="8"/>
        <v>-</v>
      </c>
      <c r="X241" s="6"/>
      <c r="Y241" s="6"/>
      <c r="Z241" s="6"/>
      <c r="AA241" s="6"/>
      <c r="AB241" s="6"/>
      <c r="AC241" s="6"/>
    </row>
    <row r="242" spans="1:29" x14ac:dyDescent="0.25">
      <c r="Q242" s="12" t="str">
        <f t="shared" ca="1" si="7"/>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7"/>
        <v>-</v>
      </c>
      <c r="R243" s="6"/>
      <c r="S243" s="6"/>
      <c r="T243" s="6"/>
      <c r="U243" s="6"/>
      <c r="V243" s="6"/>
      <c r="W243" s="6" t="str">
        <f t="shared" si="8"/>
        <v>-</v>
      </c>
      <c r="X243" s="6"/>
      <c r="Y243" s="6"/>
      <c r="Z243" s="6"/>
      <c r="AA243" s="6"/>
      <c r="AB243" s="6"/>
      <c r="AC243" s="6"/>
    </row>
    <row r="244" spans="1:29" x14ac:dyDescent="0.25">
      <c r="Q244" s="12" t="str">
        <f t="shared" ca="1" si="7"/>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7"/>
        <v>-</v>
      </c>
      <c r="R245" s="6"/>
      <c r="S245" s="6"/>
      <c r="T245" s="6"/>
      <c r="U245" s="6"/>
      <c r="V245" s="6"/>
      <c r="W245" s="6" t="str">
        <f t="shared" si="8"/>
        <v>-</v>
      </c>
      <c r="X245" s="6"/>
      <c r="Y245" s="6"/>
      <c r="Z245" s="6"/>
      <c r="AA245" s="6"/>
      <c r="AB245" s="6"/>
      <c r="AC245" s="6"/>
    </row>
    <row r="246" spans="1:29" x14ac:dyDescent="0.25">
      <c r="Q246" s="12" t="str">
        <f t="shared" ca="1" si="7"/>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7"/>
        <v>-</v>
      </c>
      <c r="R247" s="6"/>
      <c r="S247" s="6"/>
      <c r="T247" s="6"/>
      <c r="U247" s="6"/>
      <c r="V247" s="6"/>
      <c r="W247" s="6" t="str">
        <f t="shared" si="8"/>
        <v>-</v>
      </c>
      <c r="X247" s="6"/>
      <c r="Y247" s="6"/>
      <c r="Z247" s="6"/>
      <c r="AA247" s="6"/>
      <c r="AB247" s="6"/>
      <c r="AC247" s="6"/>
    </row>
    <row r="248" spans="1:29" x14ac:dyDescent="0.25">
      <c r="Q248" s="12" t="str">
        <f t="shared" ca="1" si="7"/>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7"/>
        <v>-</v>
      </c>
      <c r="R249" s="6"/>
      <c r="S249" s="6"/>
      <c r="T249" s="6"/>
      <c r="U249" s="6"/>
      <c r="V249" s="6"/>
      <c r="W249" s="6" t="str">
        <f t="shared" si="8"/>
        <v>-</v>
      </c>
      <c r="X249" s="6"/>
      <c r="Y249" s="6"/>
      <c r="Z249" s="6"/>
      <c r="AA249" s="6"/>
      <c r="AB249" s="6"/>
      <c r="AC249" s="6"/>
    </row>
    <row r="250" spans="1:29" x14ac:dyDescent="0.25">
      <c r="Q250" s="12" t="str">
        <f t="shared" ca="1" si="7"/>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7"/>
        <v>-</v>
      </c>
      <c r="R251" s="6"/>
      <c r="S251" s="6"/>
      <c r="T251" s="6"/>
      <c r="U251" s="6"/>
      <c r="V251" s="6"/>
      <c r="W251" s="6" t="str">
        <f t="shared" si="8"/>
        <v>-</v>
      </c>
      <c r="X251" s="6"/>
      <c r="Y251" s="6"/>
      <c r="Z251" s="6"/>
      <c r="AA251" s="6"/>
      <c r="AB251" s="6"/>
      <c r="AC251" s="6"/>
    </row>
    <row r="252" spans="1:29" x14ac:dyDescent="0.25">
      <c r="Q252" s="12" t="str">
        <f t="shared" ca="1" si="7"/>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7"/>
        <v>-</v>
      </c>
      <c r="R253" s="6"/>
      <c r="S253" s="6"/>
      <c r="T253" s="6"/>
      <c r="U253" s="6"/>
      <c r="V253" s="6"/>
      <c r="W253" s="6" t="str">
        <f t="shared" si="8"/>
        <v>-</v>
      </c>
      <c r="X253" s="6"/>
      <c r="Y253" s="6"/>
      <c r="Z253" s="6"/>
      <c r="AA253" s="6"/>
      <c r="AB253" s="6"/>
      <c r="AC253" s="6"/>
    </row>
    <row r="254" spans="1:29" x14ac:dyDescent="0.25">
      <c r="Q254" s="12" t="str">
        <f t="shared" ca="1" si="7"/>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7"/>
        <v>-</v>
      </c>
      <c r="R255" s="6"/>
      <c r="S255" s="6"/>
      <c r="T255" s="6"/>
      <c r="U255" s="6"/>
      <c r="V255" s="6"/>
      <c r="W255" s="6" t="str">
        <f t="shared" si="8"/>
        <v>-</v>
      </c>
      <c r="X255" s="6"/>
      <c r="Y255" s="6"/>
      <c r="Z255" s="6"/>
      <c r="AA255" s="6"/>
      <c r="AB255" s="6"/>
      <c r="AC255" s="6"/>
    </row>
    <row r="256" spans="1:29" x14ac:dyDescent="0.25">
      <c r="Q256" s="12" t="str">
        <f t="shared" ca="1" si="7"/>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7"/>
        <v>-</v>
      </c>
      <c r="R257" s="6"/>
      <c r="S257" s="6"/>
      <c r="T257" s="6"/>
      <c r="U257" s="6"/>
      <c r="V257" s="6"/>
      <c r="W257" s="6" t="str">
        <f t="shared" si="8"/>
        <v>-</v>
      </c>
      <c r="X257" s="6"/>
      <c r="Y257" s="6"/>
      <c r="Z257" s="6"/>
      <c r="AA257" s="6"/>
      <c r="AB257" s="6"/>
      <c r="AC257" s="6"/>
    </row>
    <row r="258" spans="1:29" x14ac:dyDescent="0.25">
      <c r="Q258" s="12" t="str">
        <f t="shared" ca="1" si="7"/>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7"/>
        <v>-</v>
      </c>
      <c r="R259" s="6"/>
      <c r="S259" s="6"/>
      <c r="T259" s="6"/>
      <c r="U259" s="6"/>
      <c r="V259" s="6"/>
      <c r="W259" s="6" t="str">
        <f t="shared" si="8"/>
        <v>-</v>
      </c>
      <c r="X259" s="6"/>
      <c r="Y259" s="6"/>
      <c r="Z259" s="6"/>
      <c r="AA259" s="6"/>
      <c r="AB259" s="6"/>
      <c r="AC259" s="6"/>
    </row>
    <row r="260" spans="1:29" x14ac:dyDescent="0.25">
      <c r="Q260" s="12" t="str">
        <f t="shared" ca="1" si="7"/>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ref="Q261:Q324" ca="1" si="9">IF(B261&gt;1/1/1900, (IF(R261="Closed",(DATEDIF(B261,P261,"d"))-(DATEDIF(M261,O261,"d")),IF(OR(R261="Pending",ISBLANK(P261)),TODAY()-B261))),"-")</f>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ca="1" si="9"/>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9"/>
        <v>-</v>
      </c>
      <c r="R263" s="6"/>
      <c r="S263" s="6"/>
      <c r="T263" s="6"/>
      <c r="U263" s="6"/>
      <c r="V263" s="6"/>
      <c r="W263" s="6" t="str">
        <f t="shared" si="10"/>
        <v>-</v>
      </c>
      <c r="X263" s="6"/>
      <c r="Y263" s="6"/>
      <c r="Z263" s="6"/>
      <c r="AA263" s="6"/>
      <c r="AB263" s="6"/>
      <c r="AC263" s="6"/>
    </row>
    <row r="264" spans="1:29" x14ac:dyDescent="0.25">
      <c r="Q264" s="12" t="str">
        <f t="shared" ca="1" si="9"/>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9"/>
        <v>-</v>
      </c>
      <c r="R265" s="6"/>
      <c r="S265" s="6"/>
      <c r="T265" s="6"/>
      <c r="U265" s="6"/>
      <c r="V265" s="6"/>
      <c r="W265" s="6" t="str">
        <f t="shared" si="10"/>
        <v>-</v>
      </c>
      <c r="X265" s="6"/>
      <c r="Y265" s="6"/>
      <c r="Z265" s="6"/>
      <c r="AA265" s="6"/>
      <c r="AB265" s="6"/>
      <c r="AC265" s="6"/>
    </row>
    <row r="266" spans="1:29" x14ac:dyDescent="0.25">
      <c r="Q266" s="12" t="str">
        <f t="shared" ca="1" si="9"/>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ca="1" si="9"/>
        <v>-</v>
      </c>
      <c r="R267" s="6"/>
      <c r="S267" s="6"/>
      <c r="T267" s="6"/>
      <c r="U267" s="6"/>
      <c r="V267" s="6"/>
      <c r="W267" s="6" t="str">
        <f t="shared" si="10"/>
        <v>-</v>
      </c>
      <c r="X267" s="6"/>
      <c r="Y267" s="6"/>
      <c r="Z267" s="6"/>
      <c r="AA267" s="6"/>
      <c r="AB267" s="6"/>
      <c r="AC267" s="6"/>
    </row>
    <row r="268" spans="1:29" x14ac:dyDescent="0.25">
      <c r="Q268" s="12" t="str">
        <f t="shared" ca="1" si="9"/>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9"/>
        <v>-</v>
      </c>
      <c r="R269" s="6"/>
      <c r="S269" s="6"/>
      <c r="T269" s="6"/>
      <c r="U269" s="6"/>
      <c r="V269" s="6"/>
      <c r="W269" s="6" t="str">
        <f t="shared" si="10"/>
        <v>-</v>
      </c>
      <c r="X269" s="6"/>
      <c r="Y269" s="6"/>
      <c r="Z269" s="6"/>
      <c r="AA269" s="6"/>
      <c r="AB269" s="6"/>
      <c r="AC269" s="6"/>
    </row>
    <row r="270" spans="1:29" x14ac:dyDescent="0.25">
      <c r="Q270" s="12" t="str">
        <f t="shared" ca="1" si="9"/>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9"/>
        <v>-</v>
      </c>
      <c r="R271" s="6"/>
      <c r="S271" s="6"/>
      <c r="T271" s="6"/>
      <c r="U271" s="6"/>
      <c r="V271" s="6"/>
      <c r="W271" s="6" t="str">
        <f t="shared" si="10"/>
        <v>-</v>
      </c>
      <c r="X271" s="6"/>
      <c r="Y271" s="6"/>
      <c r="Z271" s="6"/>
      <c r="AA271" s="6"/>
      <c r="AB271" s="6"/>
      <c r="AC271" s="6"/>
    </row>
    <row r="272" spans="1:29" x14ac:dyDescent="0.25">
      <c r="Q272" s="12" t="str">
        <f t="shared" ca="1" si="9"/>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9"/>
        <v>-</v>
      </c>
      <c r="R273" s="6"/>
      <c r="S273" s="6"/>
      <c r="T273" s="6"/>
      <c r="U273" s="6"/>
      <c r="V273" s="6"/>
      <c r="W273" s="6" t="str">
        <f t="shared" si="10"/>
        <v>-</v>
      </c>
      <c r="X273" s="6"/>
      <c r="Y273" s="6"/>
      <c r="Z273" s="6"/>
      <c r="AA273" s="6"/>
      <c r="AB273" s="6"/>
      <c r="AC273" s="6"/>
    </row>
    <row r="274" spans="1:29" x14ac:dyDescent="0.25">
      <c r="Q274" s="12" t="str">
        <f t="shared" ca="1" si="9"/>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9"/>
        <v>-</v>
      </c>
      <c r="R275" s="6"/>
      <c r="S275" s="6"/>
      <c r="T275" s="6"/>
      <c r="U275" s="6"/>
      <c r="V275" s="6"/>
      <c r="W275" s="6" t="str">
        <f t="shared" si="10"/>
        <v>-</v>
      </c>
      <c r="X275" s="6"/>
      <c r="Y275" s="6"/>
      <c r="Z275" s="6"/>
      <c r="AA275" s="6"/>
      <c r="AB275" s="6"/>
      <c r="AC275" s="6"/>
    </row>
    <row r="276" spans="1:29" x14ac:dyDescent="0.25">
      <c r="Q276" s="12" t="str">
        <f t="shared" ca="1" si="9"/>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9"/>
        <v>-</v>
      </c>
      <c r="R277" s="6"/>
      <c r="S277" s="6"/>
      <c r="T277" s="6"/>
      <c r="U277" s="6"/>
      <c r="V277" s="6"/>
      <c r="W277" s="6" t="str">
        <f t="shared" si="10"/>
        <v>-</v>
      </c>
      <c r="X277" s="6"/>
      <c r="Y277" s="6"/>
      <c r="Z277" s="6"/>
      <c r="AA277" s="6"/>
      <c r="AB277" s="6"/>
      <c r="AC277" s="6"/>
    </row>
    <row r="278" spans="1:29" x14ac:dyDescent="0.25">
      <c r="Q278" s="12" t="str">
        <f t="shared" ca="1" si="9"/>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9"/>
        <v>-</v>
      </c>
      <c r="R279" s="6"/>
      <c r="S279" s="6"/>
      <c r="T279" s="6"/>
      <c r="U279" s="6"/>
      <c r="V279" s="6"/>
      <c r="W279" s="6" t="str">
        <f t="shared" si="10"/>
        <v>-</v>
      </c>
      <c r="X279" s="6"/>
      <c r="Y279" s="6"/>
      <c r="Z279" s="6"/>
      <c r="AA279" s="6"/>
      <c r="AB279" s="6"/>
      <c r="AC279" s="6"/>
    </row>
    <row r="280" spans="1:29" x14ac:dyDescent="0.25">
      <c r="Q280" s="12" t="str">
        <f t="shared" ca="1" si="9"/>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9"/>
        <v>-</v>
      </c>
      <c r="R281" s="6"/>
      <c r="S281" s="6"/>
      <c r="T281" s="6"/>
      <c r="U281" s="6"/>
      <c r="V281" s="6"/>
      <c r="W281" s="6" t="str">
        <f t="shared" si="10"/>
        <v>-</v>
      </c>
      <c r="X281" s="6"/>
      <c r="Y281" s="6"/>
      <c r="Z281" s="6"/>
      <c r="AA281" s="6"/>
      <c r="AB281" s="6"/>
      <c r="AC281" s="6"/>
    </row>
    <row r="282" spans="1:29" x14ac:dyDescent="0.25">
      <c r="Q282" s="12" t="str">
        <f t="shared" ca="1" si="9"/>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9"/>
        <v>-</v>
      </c>
      <c r="R283" s="6"/>
      <c r="S283" s="6"/>
      <c r="T283" s="6"/>
      <c r="U283" s="6"/>
      <c r="V283" s="6"/>
      <c r="W283" s="6" t="str">
        <f t="shared" si="10"/>
        <v>-</v>
      </c>
      <c r="X283" s="6"/>
      <c r="Y283" s="6"/>
      <c r="Z283" s="6"/>
      <c r="AA283" s="6"/>
      <c r="AB283" s="6"/>
      <c r="AC283" s="6"/>
    </row>
    <row r="284" spans="1:29" x14ac:dyDescent="0.25">
      <c r="Q284" s="12" t="str">
        <f t="shared" ca="1" si="9"/>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9"/>
        <v>-</v>
      </c>
      <c r="R285" s="6"/>
      <c r="S285" s="6"/>
      <c r="T285" s="6"/>
      <c r="U285" s="6"/>
      <c r="V285" s="6"/>
      <c r="W285" s="6" t="str">
        <f t="shared" si="10"/>
        <v>-</v>
      </c>
      <c r="X285" s="6"/>
      <c r="Y285" s="6"/>
      <c r="Z285" s="6"/>
      <c r="AA285" s="6"/>
      <c r="AB285" s="6"/>
      <c r="AC285" s="6"/>
    </row>
    <row r="286" spans="1:29" x14ac:dyDescent="0.25">
      <c r="Q286" s="12" t="str">
        <f t="shared" ca="1" si="9"/>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9"/>
        <v>-</v>
      </c>
      <c r="R287" s="6"/>
      <c r="S287" s="6"/>
      <c r="T287" s="6"/>
      <c r="U287" s="6"/>
      <c r="V287" s="6"/>
      <c r="W287" s="6" t="str">
        <f t="shared" si="10"/>
        <v>-</v>
      </c>
      <c r="X287" s="6"/>
      <c r="Y287" s="6"/>
      <c r="Z287" s="6"/>
      <c r="AA287" s="6"/>
      <c r="AB287" s="6"/>
      <c r="AC287" s="6"/>
    </row>
    <row r="288" spans="1:29" x14ac:dyDescent="0.25">
      <c r="Q288" s="12" t="str">
        <f t="shared" ca="1" si="9"/>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9"/>
        <v>-</v>
      </c>
      <c r="R289" s="6"/>
      <c r="S289" s="6"/>
      <c r="T289" s="6"/>
      <c r="U289" s="6"/>
      <c r="V289" s="6"/>
      <c r="W289" s="6" t="str">
        <f t="shared" si="10"/>
        <v>-</v>
      </c>
      <c r="X289" s="6"/>
      <c r="Y289" s="6"/>
      <c r="Z289" s="6"/>
      <c r="AA289" s="6"/>
      <c r="AB289" s="6"/>
      <c r="AC289" s="6"/>
    </row>
    <row r="290" spans="1:29" x14ac:dyDescent="0.25">
      <c r="Q290" s="12" t="str">
        <f t="shared" ca="1" si="9"/>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9"/>
        <v>-</v>
      </c>
      <c r="R291" s="6"/>
      <c r="S291" s="6"/>
      <c r="T291" s="6"/>
      <c r="U291" s="6"/>
      <c r="V291" s="6"/>
      <c r="W291" s="6" t="str">
        <f t="shared" si="10"/>
        <v>-</v>
      </c>
      <c r="X291" s="6"/>
      <c r="Y291" s="6"/>
      <c r="Z291" s="6"/>
      <c r="AA291" s="6"/>
      <c r="AB291" s="6"/>
      <c r="AC291" s="6"/>
    </row>
    <row r="292" spans="1:29" x14ac:dyDescent="0.25">
      <c r="Q292" s="12" t="str">
        <f t="shared" ca="1" si="9"/>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9"/>
        <v>-</v>
      </c>
      <c r="R293" s="6"/>
      <c r="S293" s="6"/>
      <c r="T293" s="6"/>
      <c r="U293" s="6"/>
      <c r="V293" s="6"/>
      <c r="W293" s="6" t="str">
        <f t="shared" si="10"/>
        <v>-</v>
      </c>
      <c r="X293" s="6"/>
      <c r="Y293" s="6"/>
      <c r="Z293" s="6"/>
      <c r="AA293" s="6"/>
      <c r="AB293" s="6"/>
      <c r="AC293" s="6"/>
    </row>
    <row r="294" spans="1:29" x14ac:dyDescent="0.25">
      <c r="Q294" s="12" t="str">
        <f t="shared" ca="1" si="9"/>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9"/>
        <v>-</v>
      </c>
      <c r="R295" s="6"/>
      <c r="S295" s="6"/>
      <c r="T295" s="6"/>
      <c r="U295" s="6"/>
      <c r="V295" s="6"/>
      <c r="W295" s="6" t="str">
        <f t="shared" si="10"/>
        <v>-</v>
      </c>
      <c r="X295" s="6"/>
      <c r="Y295" s="6"/>
      <c r="Z295" s="6"/>
      <c r="AA295" s="6"/>
      <c r="AB295" s="6"/>
      <c r="AC295" s="6"/>
    </row>
    <row r="296" spans="1:29" x14ac:dyDescent="0.25">
      <c r="Q296" s="12" t="str">
        <f t="shared" ca="1" si="9"/>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9"/>
        <v>-</v>
      </c>
      <c r="R297" s="6"/>
      <c r="S297" s="6"/>
      <c r="T297" s="6"/>
      <c r="U297" s="6"/>
      <c r="V297" s="6"/>
      <c r="W297" s="6" t="str">
        <f t="shared" si="10"/>
        <v>-</v>
      </c>
      <c r="X297" s="6"/>
      <c r="Y297" s="6"/>
      <c r="Z297" s="6"/>
      <c r="AA297" s="6"/>
      <c r="AB297" s="6"/>
      <c r="AC297" s="6"/>
    </row>
    <row r="298" spans="1:29" x14ac:dyDescent="0.25">
      <c r="Q298" s="12" t="str">
        <f t="shared" ca="1" si="9"/>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9"/>
        <v>-</v>
      </c>
      <c r="R299" s="6"/>
      <c r="S299" s="6"/>
      <c r="T299" s="6"/>
      <c r="U299" s="6"/>
      <c r="V299" s="6"/>
      <c r="W299" s="6" t="str">
        <f t="shared" si="10"/>
        <v>-</v>
      </c>
      <c r="X299" s="6"/>
      <c r="Y299" s="6"/>
      <c r="Z299" s="6"/>
      <c r="AA299" s="6"/>
      <c r="AB299" s="6"/>
      <c r="AC299" s="6"/>
    </row>
    <row r="300" spans="1:29" x14ac:dyDescent="0.25">
      <c r="Q300" s="12" t="str">
        <f t="shared" ca="1" si="9"/>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9"/>
        <v>-</v>
      </c>
      <c r="R301" s="6"/>
      <c r="S301" s="6"/>
      <c r="T301" s="6"/>
      <c r="U301" s="6"/>
      <c r="V301" s="6"/>
      <c r="W301" s="6" t="str">
        <f t="shared" si="10"/>
        <v>-</v>
      </c>
      <c r="X301" s="6"/>
      <c r="Y301" s="6"/>
      <c r="Z301" s="6"/>
      <c r="AA301" s="6"/>
      <c r="AB301" s="6"/>
      <c r="AC301" s="6"/>
    </row>
    <row r="302" spans="1:29" x14ac:dyDescent="0.25">
      <c r="Q302" s="12" t="str">
        <f t="shared" ca="1" si="9"/>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9"/>
        <v>-</v>
      </c>
      <c r="R303" s="6"/>
      <c r="S303" s="6"/>
      <c r="T303" s="6"/>
      <c r="U303" s="6"/>
      <c r="V303" s="6"/>
      <c r="W303" s="6" t="str">
        <f t="shared" si="10"/>
        <v>-</v>
      </c>
      <c r="X303" s="6"/>
      <c r="Y303" s="6"/>
      <c r="Z303" s="6"/>
      <c r="AA303" s="6"/>
      <c r="AB303" s="6"/>
      <c r="AC303" s="6"/>
    </row>
    <row r="304" spans="1:29" x14ac:dyDescent="0.25">
      <c r="Q304" s="12" t="str">
        <f t="shared" ca="1" si="9"/>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9"/>
        <v>-</v>
      </c>
      <c r="R305" s="6"/>
      <c r="S305" s="6"/>
      <c r="T305" s="6"/>
      <c r="U305" s="6"/>
      <c r="V305" s="6"/>
      <c r="W305" s="6" t="str">
        <f t="shared" si="10"/>
        <v>-</v>
      </c>
      <c r="X305" s="6"/>
      <c r="Y305" s="6"/>
      <c r="Z305" s="6"/>
      <c r="AA305" s="6"/>
      <c r="AB305" s="6"/>
      <c r="AC305" s="6"/>
    </row>
    <row r="306" spans="1:29" x14ac:dyDescent="0.25">
      <c r="Q306" s="12" t="str">
        <f t="shared" ca="1" si="9"/>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9"/>
        <v>-</v>
      </c>
      <c r="R307" s="6"/>
      <c r="S307" s="6"/>
      <c r="T307" s="6"/>
      <c r="U307" s="6"/>
      <c r="V307" s="6"/>
      <c r="W307" s="6" t="str">
        <f t="shared" si="10"/>
        <v>-</v>
      </c>
      <c r="X307" s="6"/>
      <c r="Y307" s="6"/>
      <c r="Z307" s="6"/>
      <c r="AA307" s="6"/>
      <c r="AB307" s="6"/>
      <c r="AC307" s="6"/>
    </row>
    <row r="308" spans="1:29" x14ac:dyDescent="0.25">
      <c r="Q308" s="12" t="str">
        <f t="shared" ca="1" si="9"/>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9"/>
        <v>-</v>
      </c>
      <c r="R309" s="6"/>
      <c r="S309" s="6"/>
      <c r="T309" s="6"/>
      <c r="U309" s="6"/>
      <c r="V309" s="6"/>
      <c r="W309" s="6" t="str">
        <f t="shared" si="10"/>
        <v>-</v>
      </c>
      <c r="X309" s="6"/>
      <c r="Y309" s="6"/>
      <c r="Z309" s="6"/>
      <c r="AA309" s="6"/>
      <c r="AB309" s="6"/>
      <c r="AC309" s="6"/>
    </row>
    <row r="310" spans="1:29" x14ac:dyDescent="0.25">
      <c r="Q310" s="12" t="str">
        <f t="shared" ca="1" si="9"/>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9"/>
        <v>-</v>
      </c>
      <c r="R311" s="6"/>
      <c r="S311" s="6"/>
      <c r="T311" s="6"/>
      <c r="U311" s="6"/>
      <c r="V311" s="6"/>
      <c r="W311" s="6" t="str">
        <f t="shared" si="10"/>
        <v>-</v>
      </c>
      <c r="X311" s="6"/>
      <c r="Y311" s="6"/>
      <c r="Z311" s="6"/>
      <c r="AA311" s="6"/>
      <c r="AB311" s="6"/>
      <c r="AC311" s="6"/>
    </row>
    <row r="312" spans="1:29" x14ac:dyDescent="0.25">
      <c r="Q312" s="12" t="str">
        <f t="shared" ca="1" si="9"/>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9"/>
        <v>-</v>
      </c>
      <c r="R313" s="6"/>
      <c r="S313" s="6"/>
      <c r="T313" s="6"/>
      <c r="U313" s="6"/>
      <c r="V313" s="6"/>
      <c r="W313" s="6" t="str">
        <f t="shared" si="10"/>
        <v>-</v>
      </c>
      <c r="X313" s="6"/>
      <c r="Y313" s="6"/>
      <c r="Z313" s="6"/>
      <c r="AA313" s="6"/>
      <c r="AB313" s="6"/>
      <c r="AC313" s="6"/>
    </row>
    <row r="314" spans="1:29" x14ac:dyDescent="0.25">
      <c r="Q314" s="12" t="str">
        <f t="shared" ca="1" si="9"/>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9"/>
        <v>-</v>
      </c>
      <c r="R315" s="6"/>
      <c r="S315" s="6"/>
      <c r="T315" s="6"/>
      <c r="U315" s="6"/>
      <c r="V315" s="6"/>
      <c r="W315" s="6" t="str">
        <f t="shared" si="10"/>
        <v>-</v>
      </c>
      <c r="X315" s="6"/>
      <c r="Y315" s="6"/>
      <c r="Z315" s="6"/>
      <c r="AA315" s="6"/>
      <c r="AB315" s="6"/>
      <c r="AC315" s="6"/>
    </row>
    <row r="316" spans="1:29" x14ac:dyDescent="0.25">
      <c r="Q316" s="12" t="str">
        <f t="shared" ca="1" si="9"/>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9"/>
        <v>-</v>
      </c>
      <c r="R317" s="6"/>
      <c r="S317" s="6"/>
      <c r="T317" s="6"/>
      <c r="U317" s="6"/>
      <c r="V317" s="6"/>
      <c r="W317" s="6" t="str">
        <f t="shared" si="10"/>
        <v>-</v>
      </c>
      <c r="X317" s="6"/>
      <c r="Y317" s="6"/>
      <c r="Z317" s="6"/>
      <c r="AA317" s="6"/>
      <c r="AB317" s="6"/>
      <c r="AC317" s="6"/>
    </row>
    <row r="318" spans="1:29" x14ac:dyDescent="0.25">
      <c r="Q318" s="12" t="str">
        <f t="shared" ca="1" si="9"/>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9"/>
        <v>-</v>
      </c>
      <c r="R319" s="6"/>
      <c r="S319" s="6"/>
      <c r="T319" s="6"/>
      <c r="U319" s="6"/>
      <c r="V319" s="6"/>
      <c r="W319" s="6" t="str">
        <f t="shared" si="10"/>
        <v>-</v>
      </c>
      <c r="X319" s="6"/>
      <c r="Y319" s="6"/>
      <c r="Z319" s="6"/>
      <c r="AA319" s="6"/>
      <c r="AB319" s="6"/>
      <c r="AC319" s="6"/>
    </row>
    <row r="320" spans="1:29" x14ac:dyDescent="0.25">
      <c r="Q320" s="12" t="str">
        <f t="shared" ca="1" si="9"/>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9"/>
        <v>-</v>
      </c>
      <c r="R321" s="6"/>
      <c r="S321" s="6"/>
      <c r="T321" s="6"/>
      <c r="U321" s="6"/>
      <c r="V321" s="6"/>
      <c r="W321" s="6" t="str">
        <f t="shared" si="10"/>
        <v>-</v>
      </c>
      <c r="X321" s="6"/>
      <c r="Y321" s="6"/>
      <c r="Z321" s="6"/>
      <c r="AA321" s="6"/>
      <c r="AB321" s="6"/>
      <c r="AC321" s="6"/>
    </row>
    <row r="322" spans="1:29" x14ac:dyDescent="0.25">
      <c r="Q322" s="12" t="str">
        <f t="shared" ca="1" si="9"/>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9"/>
        <v>-</v>
      </c>
      <c r="R323" s="6"/>
      <c r="S323" s="6"/>
      <c r="T323" s="6"/>
      <c r="U323" s="6"/>
      <c r="V323" s="6"/>
      <c r="W323" s="6" t="str">
        <f t="shared" si="10"/>
        <v>-</v>
      </c>
      <c r="X323" s="6"/>
      <c r="Y323" s="6"/>
      <c r="Z323" s="6"/>
      <c r="AA323" s="6"/>
      <c r="AB323" s="6"/>
      <c r="AC323" s="6"/>
    </row>
    <row r="324" spans="1:29" x14ac:dyDescent="0.25">
      <c r="Q324" s="12" t="str">
        <f t="shared" ca="1" si="9"/>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ref="Q325:Q388" ca="1" si="11">IF(B325&gt;1/1/1900, (IF(R325="Closed",(DATEDIF(B325,P325,"d"))-(DATEDIF(M325,O325,"d")),IF(OR(R325="Pending",ISBLANK(P325)),TODAY()-B325))),"-")</f>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ca="1" si="11"/>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1"/>
        <v>-</v>
      </c>
      <c r="R327" s="6"/>
      <c r="S327" s="6"/>
      <c r="T327" s="6"/>
      <c r="U327" s="6"/>
      <c r="V327" s="6"/>
      <c r="W327" s="6" t="str">
        <f t="shared" si="12"/>
        <v>-</v>
      </c>
      <c r="X327" s="6"/>
      <c r="Y327" s="6"/>
      <c r="Z327" s="6"/>
      <c r="AA327" s="6"/>
      <c r="AB327" s="6"/>
      <c r="AC327" s="6"/>
    </row>
    <row r="328" spans="1:29" x14ac:dyDescent="0.25">
      <c r="Q328" s="12" t="str">
        <f t="shared" ca="1" si="11"/>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1"/>
        <v>-</v>
      </c>
      <c r="R329" s="6"/>
      <c r="S329" s="6"/>
      <c r="T329" s="6"/>
      <c r="U329" s="6"/>
      <c r="V329" s="6"/>
      <c r="W329" s="6" t="str">
        <f t="shared" si="12"/>
        <v>-</v>
      </c>
      <c r="X329" s="6"/>
      <c r="Y329" s="6"/>
      <c r="Z329" s="6"/>
      <c r="AA329" s="6"/>
      <c r="AB329" s="6"/>
      <c r="AC329" s="6"/>
    </row>
    <row r="330" spans="1:29" x14ac:dyDescent="0.25">
      <c r="Q330" s="12" t="str">
        <f t="shared" ca="1" si="11"/>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1"/>
        <v>-</v>
      </c>
      <c r="R331" s="6"/>
      <c r="S331" s="6"/>
      <c r="T331" s="6"/>
      <c r="U331" s="6"/>
      <c r="V331" s="6"/>
      <c r="W331" s="6" t="str">
        <f t="shared" si="12"/>
        <v>-</v>
      </c>
      <c r="X331" s="6"/>
      <c r="Y331" s="6"/>
      <c r="Z331" s="6"/>
      <c r="AA331" s="6"/>
      <c r="AB331" s="6"/>
      <c r="AC331" s="6"/>
    </row>
    <row r="332" spans="1:29" x14ac:dyDescent="0.25">
      <c r="Q332" s="12" t="str">
        <f t="shared" ca="1" si="11"/>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1"/>
        <v>-</v>
      </c>
      <c r="R333" s="6"/>
      <c r="S333" s="6"/>
      <c r="T333" s="6"/>
      <c r="U333" s="6"/>
      <c r="V333" s="6"/>
      <c r="W333" s="6" t="str">
        <f t="shared" si="12"/>
        <v>-</v>
      </c>
      <c r="X333" s="6"/>
      <c r="Y333" s="6"/>
      <c r="Z333" s="6"/>
      <c r="AA333" s="6"/>
      <c r="AB333" s="6"/>
      <c r="AC333" s="6"/>
    </row>
    <row r="334" spans="1:29" x14ac:dyDescent="0.25">
      <c r="Q334" s="12" t="str">
        <f t="shared" ca="1" si="11"/>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1"/>
        <v>-</v>
      </c>
      <c r="R335" s="6"/>
      <c r="S335" s="6"/>
      <c r="T335" s="6"/>
      <c r="U335" s="6"/>
      <c r="V335" s="6"/>
      <c r="W335" s="6" t="str">
        <f t="shared" si="12"/>
        <v>-</v>
      </c>
      <c r="X335" s="6"/>
      <c r="Y335" s="6"/>
      <c r="Z335" s="6"/>
      <c r="AA335" s="6"/>
      <c r="AB335" s="6"/>
      <c r="AC335" s="6"/>
    </row>
    <row r="336" spans="1:29" x14ac:dyDescent="0.25">
      <c r="Q336" s="12" t="str">
        <f t="shared" ca="1" si="11"/>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1"/>
        <v>-</v>
      </c>
      <c r="R337" s="6"/>
      <c r="S337" s="6"/>
      <c r="T337" s="6"/>
      <c r="U337" s="6"/>
      <c r="V337" s="6"/>
      <c r="W337" s="6" t="str">
        <f t="shared" si="12"/>
        <v>-</v>
      </c>
      <c r="X337" s="6"/>
      <c r="Y337" s="6"/>
      <c r="Z337" s="6"/>
      <c r="AA337" s="6"/>
      <c r="AB337" s="6"/>
      <c r="AC337" s="6"/>
    </row>
    <row r="338" spans="1:29" x14ac:dyDescent="0.25">
      <c r="Q338" s="12" t="str">
        <f t="shared" ca="1" si="11"/>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1"/>
        <v>-</v>
      </c>
      <c r="R339" s="6"/>
      <c r="S339" s="6"/>
      <c r="T339" s="6"/>
      <c r="U339" s="6"/>
      <c r="V339" s="6"/>
      <c r="W339" s="6" t="str">
        <f t="shared" si="12"/>
        <v>-</v>
      </c>
      <c r="X339" s="6"/>
      <c r="Y339" s="6"/>
      <c r="Z339" s="6"/>
      <c r="AA339" s="6"/>
      <c r="AB339" s="6"/>
      <c r="AC339" s="6"/>
    </row>
    <row r="340" spans="1:29" x14ac:dyDescent="0.25">
      <c r="Q340" s="12" t="str">
        <f t="shared" ca="1" si="11"/>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1"/>
        <v>-</v>
      </c>
      <c r="R341" s="6"/>
      <c r="S341" s="6"/>
      <c r="T341" s="6"/>
      <c r="U341" s="6"/>
      <c r="V341" s="6"/>
      <c r="W341" s="6" t="str">
        <f t="shared" si="12"/>
        <v>-</v>
      </c>
      <c r="X341" s="6"/>
      <c r="Y341" s="6"/>
      <c r="Z341" s="6"/>
      <c r="AA341" s="6"/>
      <c r="AB341" s="6"/>
      <c r="AC341" s="6"/>
    </row>
    <row r="342" spans="1:29" x14ac:dyDescent="0.25">
      <c r="Q342" s="12" t="str">
        <f t="shared" ca="1" si="11"/>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1"/>
        <v>-</v>
      </c>
      <c r="R343" s="6"/>
      <c r="S343" s="6"/>
      <c r="T343" s="6"/>
      <c r="U343" s="6"/>
      <c r="V343" s="6"/>
      <c r="W343" s="6" t="str">
        <f t="shared" si="12"/>
        <v>-</v>
      </c>
      <c r="X343" s="6"/>
      <c r="Y343" s="6"/>
      <c r="Z343" s="6"/>
      <c r="AA343" s="6"/>
      <c r="AB343" s="6"/>
      <c r="AC343" s="6"/>
    </row>
    <row r="344" spans="1:29" x14ac:dyDescent="0.25">
      <c r="Q344" s="12" t="str">
        <f t="shared" ca="1" si="11"/>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1"/>
        <v>-</v>
      </c>
      <c r="R345" s="6"/>
      <c r="S345" s="6"/>
      <c r="T345" s="6"/>
      <c r="U345" s="6"/>
      <c r="V345" s="6"/>
      <c r="W345" s="6" t="str">
        <f t="shared" si="12"/>
        <v>-</v>
      </c>
      <c r="X345" s="6"/>
      <c r="Y345" s="6"/>
      <c r="Z345" s="6"/>
      <c r="AA345" s="6"/>
      <c r="AB345" s="6"/>
      <c r="AC345" s="6"/>
    </row>
    <row r="346" spans="1:29" x14ac:dyDescent="0.25">
      <c r="Q346" s="12" t="str">
        <f t="shared" ca="1" si="11"/>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1"/>
        <v>-</v>
      </c>
      <c r="R347" s="6"/>
      <c r="S347" s="6"/>
      <c r="T347" s="6"/>
      <c r="U347" s="6"/>
      <c r="V347" s="6"/>
      <c r="W347" s="6" t="str">
        <f t="shared" si="12"/>
        <v>-</v>
      </c>
      <c r="X347" s="6"/>
      <c r="Y347" s="6"/>
      <c r="Z347" s="6"/>
      <c r="AA347" s="6"/>
      <c r="AB347" s="6"/>
      <c r="AC347" s="6"/>
    </row>
    <row r="348" spans="1:29" x14ac:dyDescent="0.25">
      <c r="Q348" s="12" t="str">
        <f t="shared" ca="1" si="11"/>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1"/>
        <v>-</v>
      </c>
      <c r="R349" s="6"/>
      <c r="S349" s="6"/>
      <c r="T349" s="6"/>
      <c r="U349" s="6"/>
      <c r="V349" s="6"/>
      <c r="W349" s="6" t="str">
        <f t="shared" si="12"/>
        <v>-</v>
      </c>
      <c r="X349" s="6"/>
      <c r="Y349" s="6"/>
      <c r="Z349" s="6"/>
      <c r="AA349" s="6"/>
      <c r="AB349" s="6"/>
      <c r="AC349" s="6"/>
    </row>
    <row r="350" spans="1:29" x14ac:dyDescent="0.25">
      <c r="Q350" s="12" t="str">
        <f t="shared" ca="1" si="11"/>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1"/>
        <v>-</v>
      </c>
      <c r="R351" s="6"/>
      <c r="S351" s="6"/>
      <c r="T351" s="6"/>
      <c r="U351" s="6"/>
      <c r="V351" s="6"/>
      <c r="W351" s="6" t="str">
        <f t="shared" si="12"/>
        <v>-</v>
      </c>
      <c r="X351" s="6"/>
      <c r="Y351" s="6"/>
      <c r="Z351" s="6"/>
      <c r="AA351" s="6"/>
      <c r="AB351" s="6"/>
      <c r="AC351" s="6"/>
    </row>
    <row r="352" spans="1:29" x14ac:dyDescent="0.25">
      <c r="Q352" s="12" t="str">
        <f t="shared" ca="1" si="11"/>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1"/>
        <v>-</v>
      </c>
      <c r="R353" s="6"/>
      <c r="S353" s="6"/>
      <c r="T353" s="6"/>
      <c r="U353" s="6"/>
      <c r="V353" s="6"/>
      <c r="W353" s="6" t="str">
        <f t="shared" si="12"/>
        <v>-</v>
      </c>
      <c r="X353" s="6"/>
      <c r="Y353" s="6"/>
      <c r="Z353" s="6"/>
      <c r="AA353" s="6"/>
      <c r="AB353" s="6"/>
      <c r="AC353" s="6"/>
    </row>
    <row r="354" spans="1:29" x14ac:dyDescent="0.25">
      <c r="Q354" s="12" t="str">
        <f t="shared" ca="1" si="11"/>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1"/>
        <v>-</v>
      </c>
      <c r="R355" s="6"/>
      <c r="S355" s="6"/>
      <c r="T355" s="6"/>
      <c r="U355" s="6"/>
      <c r="V355" s="6"/>
      <c r="W355" s="6" t="str">
        <f t="shared" si="12"/>
        <v>-</v>
      </c>
      <c r="X355" s="6"/>
      <c r="Y355" s="6"/>
      <c r="Z355" s="6"/>
      <c r="AA355" s="6"/>
      <c r="AB355" s="6"/>
      <c r="AC355" s="6"/>
    </row>
    <row r="356" spans="1:29" x14ac:dyDescent="0.25">
      <c r="Q356" s="12" t="str">
        <f t="shared" ca="1" si="11"/>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1"/>
        <v>-</v>
      </c>
      <c r="R357" s="6"/>
      <c r="S357" s="6"/>
      <c r="T357" s="6"/>
      <c r="U357" s="6"/>
      <c r="V357" s="6"/>
      <c r="W357" s="6" t="str">
        <f t="shared" si="12"/>
        <v>-</v>
      </c>
      <c r="X357" s="6"/>
      <c r="Y357" s="6"/>
      <c r="Z357" s="6"/>
      <c r="AA357" s="6"/>
      <c r="AB357" s="6"/>
      <c r="AC357" s="6"/>
    </row>
    <row r="358" spans="1:29" x14ac:dyDescent="0.25">
      <c r="Q358" s="12" t="str">
        <f t="shared" ca="1" si="11"/>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1"/>
        <v>-</v>
      </c>
      <c r="R359" s="6"/>
      <c r="S359" s="6"/>
      <c r="T359" s="6"/>
      <c r="U359" s="6"/>
      <c r="V359" s="6"/>
      <c r="W359" s="6" t="str">
        <f t="shared" si="12"/>
        <v>-</v>
      </c>
      <c r="X359" s="6"/>
      <c r="Y359" s="6"/>
      <c r="Z359" s="6"/>
      <c r="AA359" s="6"/>
      <c r="AB359" s="6"/>
      <c r="AC359" s="6"/>
    </row>
    <row r="360" spans="1:29" x14ac:dyDescent="0.25">
      <c r="Q360" s="12" t="str">
        <f t="shared" ca="1" si="11"/>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1"/>
        <v>-</v>
      </c>
      <c r="R361" s="6"/>
      <c r="S361" s="6"/>
      <c r="T361" s="6"/>
      <c r="U361" s="6"/>
      <c r="V361" s="6"/>
      <c r="W361" s="6" t="str">
        <f t="shared" si="12"/>
        <v>-</v>
      </c>
      <c r="X361" s="6"/>
      <c r="Y361" s="6"/>
      <c r="Z361" s="6"/>
      <c r="AA361" s="6"/>
      <c r="AB361" s="6"/>
      <c r="AC361" s="6"/>
    </row>
    <row r="362" spans="1:29" x14ac:dyDescent="0.25">
      <c r="Q362" s="12" t="str">
        <f t="shared" ca="1" si="11"/>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1"/>
        <v>-</v>
      </c>
      <c r="R363" s="6"/>
      <c r="S363" s="6"/>
      <c r="T363" s="6"/>
      <c r="U363" s="6"/>
      <c r="V363" s="6"/>
      <c r="W363" s="6" t="str">
        <f t="shared" si="12"/>
        <v>-</v>
      </c>
      <c r="X363" s="6"/>
      <c r="Y363" s="6"/>
      <c r="Z363" s="6"/>
      <c r="AA363" s="6"/>
      <c r="AB363" s="6"/>
      <c r="AC363" s="6"/>
    </row>
    <row r="364" spans="1:29" x14ac:dyDescent="0.25">
      <c r="Q364" s="12" t="str">
        <f t="shared" ca="1" si="11"/>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1"/>
        <v>-</v>
      </c>
      <c r="R365" s="6"/>
      <c r="S365" s="6"/>
      <c r="T365" s="6"/>
      <c r="U365" s="6"/>
      <c r="V365" s="6"/>
      <c r="W365" s="6" t="str">
        <f t="shared" si="12"/>
        <v>-</v>
      </c>
      <c r="X365" s="6"/>
      <c r="Y365" s="6"/>
      <c r="Z365" s="6"/>
      <c r="AA365" s="6"/>
      <c r="AB365" s="6"/>
      <c r="AC365" s="6"/>
    </row>
    <row r="366" spans="1:29" x14ac:dyDescent="0.25">
      <c r="Q366" s="12" t="str">
        <f t="shared" ca="1" si="11"/>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1"/>
        <v>-</v>
      </c>
      <c r="R367" s="6"/>
      <c r="S367" s="6"/>
      <c r="T367" s="6"/>
      <c r="U367" s="6"/>
      <c r="V367" s="6"/>
      <c r="W367" s="6" t="str">
        <f t="shared" si="12"/>
        <v>-</v>
      </c>
      <c r="X367" s="6"/>
      <c r="Y367" s="6"/>
      <c r="Z367" s="6"/>
      <c r="AA367" s="6"/>
      <c r="AB367" s="6"/>
      <c r="AC367" s="6"/>
    </row>
    <row r="368" spans="1:29" x14ac:dyDescent="0.25">
      <c r="Q368" s="12" t="str">
        <f t="shared" ca="1" si="11"/>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1"/>
        <v>-</v>
      </c>
      <c r="R369" s="6"/>
      <c r="S369" s="6"/>
      <c r="T369" s="6"/>
      <c r="U369" s="6"/>
      <c r="V369" s="6"/>
      <c r="W369" s="6" t="str">
        <f t="shared" si="12"/>
        <v>-</v>
      </c>
      <c r="X369" s="6"/>
      <c r="Y369" s="6"/>
      <c r="Z369" s="6"/>
      <c r="AA369" s="6"/>
      <c r="AB369" s="6"/>
      <c r="AC369" s="6"/>
    </row>
    <row r="370" spans="1:29" x14ac:dyDescent="0.25">
      <c r="Q370" s="12" t="str">
        <f t="shared" ca="1" si="11"/>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1"/>
        <v>-</v>
      </c>
      <c r="R371" s="6"/>
      <c r="S371" s="6"/>
      <c r="T371" s="6"/>
      <c r="U371" s="6"/>
      <c r="V371" s="6"/>
      <c r="W371" s="6" t="str">
        <f t="shared" si="12"/>
        <v>-</v>
      </c>
      <c r="X371" s="6"/>
      <c r="Y371" s="6"/>
      <c r="Z371" s="6"/>
      <c r="AA371" s="6"/>
      <c r="AB371" s="6"/>
      <c r="AC371" s="6"/>
    </row>
    <row r="372" spans="1:29" x14ac:dyDescent="0.25">
      <c r="Q372" s="12" t="str">
        <f t="shared" ca="1" si="11"/>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1"/>
        <v>-</v>
      </c>
      <c r="R373" s="6"/>
      <c r="S373" s="6"/>
      <c r="T373" s="6"/>
      <c r="U373" s="6"/>
      <c r="V373" s="6"/>
      <c r="W373" s="6" t="str">
        <f t="shared" si="12"/>
        <v>-</v>
      </c>
      <c r="X373" s="6"/>
      <c r="Y373" s="6"/>
      <c r="Z373" s="6"/>
      <c r="AA373" s="6"/>
      <c r="AB373" s="6"/>
      <c r="AC373" s="6"/>
    </row>
    <row r="374" spans="1:29" x14ac:dyDescent="0.25">
      <c r="Q374" s="12" t="str">
        <f t="shared" ca="1" si="11"/>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1"/>
        <v>-</v>
      </c>
      <c r="R375" s="6"/>
      <c r="S375" s="6"/>
      <c r="T375" s="6"/>
      <c r="U375" s="6"/>
      <c r="V375" s="6"/>
      <c r="W375" s="6" t="str">
        <f t="shared" si="12"/>
        <v>-</v>
      </c>
      <c r="X375" s="6"/>
      <c r="Y375" s="6"/>
      <c r="Z375" s="6"/>
      <c r="AA375" s="6"/>
      <c r="AB375" s="6"/>
      <c r="AC375" s="6"/>
    </row>
    <row r="376" spans="1:29" x14ac:dyDescent="0.25">
      <c r="Q376" s="12" t="str">
        <f t="shared" ca="1" si="11"/>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1"/>
        <v>-</v>
      </c>
      <c r="R377" s="6"/>
      <c r="S377" s="6"/>
      <c r="T377" s="6"/>
      <c r="U377" s="6"/>
      <c r="V377" s="6"/>
      <c r="W377" s="6" t="str">
        <f t="shared" si="12"/>
        <v>-</v>
      </c>
      <c r="X377" s="6"/>
      <c r="Y377" s="6"/>
      <c r="Z377" s="6"/>
      <c r="AA377" s="6"/>
      <c r="AB377" s="6"/>
      <c r="AC377" s="6"/>
    </row>
    <row r="378" spans="1:29" x14ac:dyDescent="0.25">
      <c r="Q378" s="12" t="str">
        <f t="shared" ca="1" si="11"/>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1"/>
        <v>-</v>
      </c>
      <c r="R379" s="6"/>
      <c r="S379" s="6"/>
      <c r="T379" s="6"/>
      <c r="U379" s="6"/>
      <c r="V379" s="6"/>
      <c r="W379" s="6" t="str">
        <f t="shared" si="12"/>
        <v>-</v>
      </c>
      <c r="X379" s="6"/>
      <c r="Y379" s="6"/>
      <c r="Z379" s="6"/>
      <c r="AA379" s="6"/>
      <c r="AB379" s="6"/>
      <c r="AC379" s="6"/>
    </row>
    <row r="380" spans="1:29" x14ac:dyDescent="0.25">
      <c r="Q380" s="12" t="str">
        <f t="shared" ca="1" si="11"/>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1"/>
        <v>-</v>
      </c>
      <c r="R381" s="6"/>
      <c r="S381" s="6"/>
      <c r="T381" s="6"/>
      <c r="U381" s="6"/>
      <c r="V381" s="6"/>
      <c r="W381" s="6" t="str">
        <f t="shared" si="12"/>
        <v>-</v>
      </c>
      <c r="X381" s="6"/>
      <c r="Y381" s="6"/>
      <c r="Z381" s="6"/>
      <c r="AA381" s="6"/>
      <c r="AB381" s="6"/>
      <c r="AC381" s="6"/>
    </row>
    <row r="382" spans="1:29" x14ac:dyDescent="0.25">
      <c r="Q382" s="12" t="str">
        <f t="shared" ca="1" si="11"/>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1"/>
        <v>-</v>
      </c>
      <c r="R383" s="6"/>
      <c r="S383" s="6"/>
      <c r="T383" s="6"/>
      <c r="U383" s="6"/>
      <c r="V383" s="6"/>
      <c r="W383" s="6" t="str">
        <f t="shared" si="12"/>
        <v>-</v>
      </c>
      <c r="X383" s="6"/>
      <c r="Y383" s="6"/>
      <c r="Z383" s="6"/>
      <c r="AA383" s="6"/>
      <c r="AB383" s="6"/>
      <c r="AC383" s="6"/>
    </row>
    <row r="384" spans="1:29" x14ac:dyDescent="0.25">
      <c r="Q384" s="12" t="str">
        <f t="shared" ca="1" si="11"/>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1"/>
        <v>-</v>
      </c>
      <c r="R385" s="6"/>
      <c r="S385" s="6"/>
      <c r="T385" s="6"/>
      <c r="U385" s="6"/>
      <c r="V385" s="6"/>
      <c r="W385" s="6" t="str">
        <f t="shared" si="12"/>
        <v>-</v>
      </c>
      <c r="X385" s="6"/>
      <c r="Y385" s="6"/>
      <c r="Z385" s="6"/>
      <c r="AA385" s="6"/>
      <c r="AB385" s="6"/>
      <c r="AC385" s="6"/>
    </row>
    <row r="386" spans="1:29" x14ac:dyDescent="0.25">
      <c r="Q386" s="12" t="str">
        <f t="shared" ca="1" si="11"/>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1"/>
        <v>-</v>
      </c>
      <c r="R387" s="6"/>
      <c r="S387" s="6"/>
      <c r="T387" s="6"/>
      <c r="U387" s="6"/>
      <c r="V387" s="6"/>
      <c r="W387" s="6" t="str">
        <f t="shared" si="12"/>
        <v>-</v>
      </c>
      <c r="X387" s="6"/>
      <c r="Y387" s="6"/>
      <c r="Z387" s="6"/>
      <c r="AA387" s="6"/>
      <c r="AB387" s="6"/>
      <c r="AC387" s="6"/>
    </row>
    <row r="388" spans="1:29" x14ac:dyDescent="0.25">
      <c r="Q388" s="12" t="str">
        <f t="shared" ca="1" si="11"/>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ref="Q389:Q452" ca="1" si="13">IF(B389&gt;1/1/1900, (IF(R389="Closed",(DATEDIF(B389,P389,"d"))-(DATEDIF(M389,O389,"d")),IF(OR(R389="Pending",ISBLANK(P389)),TODAY()-B389))),"-")</f>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ca="1" si="13"/>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3"/>
        <v>-</v>
      </c>
      <c r="R391" s="6"/>
      <c r="S391" s="6"/>
      <c r="T391" s="6"/>
      <c r="U391" s="6"/>
      <c r="V391" s="6"/>
      <c r="W391" s="6" t="str">
        <f t="shared" si="14"/>
        <v>-</v>
      </c>
      <c r="X391" s="6"/>
      <c r="Y391" s="6"/>
      <c r="Z391" s="6"/>
      <c r="AA391" s="6"/>
      <c r="AB391" s="6"/>
      <c r="AC391" s="6"/>
    </row>
    <row r="392" spans="1:29" x14ac:dyDescent="0.25">
      <c r="Q392" s="12" t="str">
        <f t="shared" ca="1" si="13"/>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3"/>
        <v>-</v>
      </c>
      <c r="R393" s="6"/>
      <c r="S393" s="6"/>
      <c r="T393" s="6"/>
      <c r="U393" s="6"/>
      <c r="V393" s="6"/>
      <c r="W393" s="6" t="str">
        <f t="shared" si="14"/>
        <v>-</v>
      </c>
      <c r="X393" s="6"/>
      <c r="Y393" s="6"/>
      <c r="Z393" s="6"/>
      <c r="AA393" s="6"/>
      <c r="AB393" s="6"/>
      <c r="AC393" s="6"/>
    </row>
    <row r="394" spans="1:29" x14ac:dyDescent="0.25">
      <c r="Q394" s="12" t="str">
        <f t="shared" ca="1" si="13"/>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3"/>
        <v>-</v>
      </c>
      <c r="R395" s="6"/>
      <c r="S395" s="6"/>
      <c r="T395" s="6"/>
      <c r="U395" s="6"/>
      <c r="V395" s="6"/>
      <c r="W395" s="6" t="str">
        <f t="shared" si="14"/>
        <v>-</v>
      </c>
      <c r="X395" s="6"/>
      <c r="Y395" s="6"/>
      <c r="Z395" s="6"/>
      <c r="AA395" s="6"/>
      <c r="AB395" s="6"/>
      <c r="AC395" s="6"/>
    </row>
    <row r="396" spans="1:29" x14ac:dyDescent="0.25">
      <c r="Q396" s="12" t="str">
        <f t="shared" ca="1" si="13"/>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3"/>
        <v>-</v>
      </c>
      <c r="R397" s="6"/>
      <c r="S397" s="6"/>
      <c r="T397" s="6"/>
      <c r="U397" s="6"/>
      <c r="V397" s="6"/>
      <c r="W397" s="6" t="str">
        <f t="shared" si="14"/>
        <v>-</v>
      </c>
      <c r="X397" s="6"/>
      <c r="Y397" s="6"/>
      <c r="Z397" s="6"/>
      <c r="AA397" s="6"/>
      <c r="AB397" s="6"/>
      <c r="AC397" s="6"/>
    </row>
    <row r="398" spans="1:29" x14ac:dyDescent="0.25">
      <c r="Q398" s="12" t="str">
        <f t="shared" ca="1" si="13"/>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3"/>
        <v>-</v>
      </c>
      <c r="R399" s="6"/>
      <c r="S399" s="6"/>
      <c r="T399" s="6"/>
      <c r="U399" s="6"/>
      <c r="V399" s="6"/>
      <c r="W399" s="6" t="str">
        <f t="shared" si="14"/>
        <v>-</v>
      </c>
      <c r="X399" s="6"/>
      <c r="Y399" s="6"/>
      <c r="Z399" s="6"/>
      <c r="AA399" s="6"/>
      <c r="AB399" s="6"/>
      <c r="AC399" s="6"/>
    </row>
    <row r="400" spans="1:29" x14ac:dyDescent="0.25">
      <c r="Q400" s="12" t="str">
        <f t="shared" ca="1" si="13"/>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3"/>
        <v>-</v>
      </c>
      <c r="R401" s="6"/>
      <c r="S401" s="6"/>
      <c r="T401" s="6"/>
      <c r="U401" s="6"/>
      <c r="V401" s="6"/>
      <c r="W401" s="6" t="str">
        <f t="shared" si="14"/>
        <v>-</v>
      </c>
      <c r="X401" s="6"/>
      <c r="Y401" s="6"/>
      <c r="Z401" s="6"/>
      <c r="AA401" s="6"/>
      <c r="AB401" s="6"/>
      <c r="AC401" s="6"/>
    </row>
    <row r="402" spans="1:29" x14ac:dyDescent="0.25">
      <c r="Q402" s="12" t="str">
        <f t="shared" ca="1" si="13"/>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3"/>
        <v>-</v>
      </c>
      <c r="R403" s="6"/>
      <c r="S403" s="6"/>
      <c r="T403" s="6"/>
      <c r="U403" s="6"/>
      <c r="V403" s="6"/>
      <c r="W403" s="6" t="str">
        <f t="shared" si="14"/>
        <v>-</v>
      </c>
      <c r="X403" s="6"/>
      <c r="Y403" s="6"/>
      <c r="Z403" s="6"/>
      <c r="AA403" s="6"/>
      <c r="AB403" s="6"/>
      <c r="AC403" s="6"/>
    </row>
    <row r="404" spans="1:29" x14ac:dyDescent="0.25">
      <c r="Q404" s="12" t="str">
        <f t="shared" ca="1" si="13"/>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3"/>
        <v>-</v>
      </c>
      <c r="R405" s="6"/>
      <c r="S405" s="6"/>
      <c r="T405" s="6"/>
      <c r="U405" s="6"/>
      <c r="V405" s="6"/>
      <c r="W405" s="6" t="str">
        <f t="shared" si="14"/>
        <v>-</v>
      </c>
      <c r="X405" s="6"/>
      <c r="Y405" s="6"/>
      <c r="Z405" s="6"/>
      <c r="AA405" s="6"/>
      <c r="AB405" s="6"/>
      <c r="AC405" s="6"/>
    </row>
    <row r="406" spans="1:29" x14ac:dyDescent="0.25">
      <c r="Q406" s="12" t="str">
        <f t="shared" ca="1" si="13"/>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3"/>
        <v>-</v>
      </c>
      <c r="R407" s="6"/>
      <c r="S407" s="6"/>
      <c r="T407" s="6"/>
      <c r="U407" s="6"/>
      <c r="V407" s="6"/>
      <c r="W407" s="6" t="str">
        <f t="shared" si="14"/>
        <v>-</v>
      </c>
      <c r="X407" s="6"/>
      <c r="Y407" s="6"/>
      <c r="Z407" s="6"/>
      <c r="AA407" s="6"/>
      <c r="AB407" s="6"/>
      <c r="AC407" s="6"/>
    </row>
    <row r="408" spans="1:29" x14ac:dyDescent="0.25">
      <c r="Q408" s="12" t="str">
        <f t="shared" ca="1" si="13"/>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3"/>
        <v>-</v>
      </c>
      <c r="R409" s="6"/>
      <c r="S409" s="6"/>
      <c r="T409" s="6"/>
      <c r="U409" s="6"/>
      <c r="V409" s="6"/>
      <c r="W409" s="6" t="str">
        <f t="shared" si="14"/>
        <v>-</v>
      </c>
      <c r="X409" s="6"/>
      <c r="Y409" s="6"/>
      <c r="Z409" s="6"/>
      <c r="AA409" s="6"/>
      <c r="AB409" s="6"/>
      <c r="AC409" s="6"/>
    </row>
    <row r="410" spans="1:29" x14ac:dyDescent="0.25">
      <c r="Q410" s="12" t="str">
        <f t="shared" ca="1" si="13"/>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3"/>
        <v>-</v>
      </c>
      <c r="R411" s="6"/>
      <c r="S411" s="6"/>
      <c r="T411" s="6"/>
      <c r="U411" s="6"/>
      <c r="V411" s="6"/>
      <c r="W411" s="6" t="str">
        <f t="shared" si="14"/>
        <v>-</v>
      </c>
      <c r="X411" s="6"/>
      <c r="Y411" s="6"/>
      <c r="Z411" s="6"/>
      <c r="AA411" s="6"/>
      <c r="AB411" s="6"/>
      <c r="AC411" s="6"/>
    </row>
    <row r="412" spans="1:29" x14ac:dyDescent="0.25">
      <c r="Q412" s="12" t="str">
        <f t="shared" ca="1" si="13"/>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3"/>
        <v>-</v>
      </c>
      <c r="R413" s="6"/>
      <c r="S413" s="6"/>
      <c r="T413" s="6"/>
      <c r="U413" s="6"/>
      <c r="V413" s="6"/>
      <c r="W413" s="6" t="str">
        <f t="shared" si="14"/>
        <v>-</v>
      </c>
      <c r="X413" s="6"/>
      <c r="Y413" s="6"/>
      <c r="Z413" s="6"/>
      <c r="AA413" s="6"/>
      <c r="AB413" s="6"/>
      <c r="AC413" s="6"/>
    </row>
    <row r="414" spans="1:29" x14ac:dyDescent="0.25">
      <c r="Q414" s="12" t="str">
        <f t="shared" ca="1" si="13"/>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3"/>
        <v>-</v>
      </c>
      <c r="R415" s="6"/>
      <c r="S415" s="6"/>
      <c r="T415" s="6"/>
      <c r="U415" s="6"/>
      <c r="V415" s="6"/>
      <c r="W415" s="6" t="str">
        <f t="shared" si="14"/>
        <v>-</v>
      </c>
      <c r="X415" s="6"/>
      <c r="Y415" s="6"/>
      <c r="Z415" s="6"/>
      <c r="AA415" s="6"/>
      <c r="AB415" s="6"/>
      <c r="AC415" s="6"/>
    </row>
    <row r="416" spans="1:29" x14ac:dyDescent="0.25">
      <c r="Q416" s="12" t="str">
        <f t="shared" ca="1" si="13"/>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3"/>
        <v>-</v>
      </c>
      <c r="R417" s="6"/>
      <c r="S417" s="6"/>
      <c r="T417" s="6"/>
      <c r="U417" s="6"/>
      <c r="V417" s="6"/>
      <c r="W417" s="6" t="str">
        <f t="shared" si="14"/>
        <v>-</v>
      </c>
      <c r="X417" s="6"/>
      <c r="Y417" s="6"/>
      <c r="Z417" s="6"/>
      <c r="AA417" s="6"/>
      <c r="AB417" s="6"/>
      <c r="AC417" s="6"/>
    </row>
    <row r="418" spans="1:29" x14ac:dyDescent="0.25">
      <c r="Q418" s="12" t="str">
        <f t="shared" ca="1" si="13"/>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3"/>
        <v>-</v>
      </c>
      <c r="R419" s="6"/>
      <c r="S419" s="6"/>
      <c r="T419" s="6"/>
      <c r="U419" s="6"/>
      <c r="V419" s="6"/>
      <c r="W419" s="6" t="str">
        <f t="shared" si="14"/>
        <v>-</v>
      </c>
      <c r="X419" s="6"/>
      <c r="Y419" s="6"/>
      <c r="Z419" s="6"/>
      <c r="AA419" s="6"/>
      <c r="AB419" s="6"/>
      <c r="AC419" s="6"/>
    </row>
    <row r="420" spans="1:29" x14ac:dyDescent="0.25">
      <c r="Q420" s="12" t="str">
        <f t="shared" ca="1" si="13"/>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3"/>
        <v>-</v>
      </c>
      <c r="R421" s="6"/>
      <c r="S421" s="6"/>
      <c r="T421" s="6"/>
      <c r="U421" s="6"/>
      <c r="V421" s="6"/>
      <c r="W421" s="6" t="str">
        <f t="shared" si="14"/>
        <v>-</v>
      </c>
      <c r="X421" s="6"/>
      <c r="Y421" s="6"/>
      <c r="Z421" s="6"/>
      <c r="AA421" s="6"/>
      <c r="AB421" s="6"/>
      <c r="AC421" s="6"/>
    </row>
    <row r="422" spans="1:29" x14ac:dyDescent="0.25">
      <c r="Q422" s="12" t="str">
        <f t="shared" ca="1" si="13"/>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3"/>
        <v>-</v>
      </c>
      <c r="R423" s="6"/>
      <c r="S423" s="6"/>
      <c r="T423" s="6"/>
      <c r="U423" s="6"/>
      <c r="V423" s="6"/>
      <c r="W423" s="6" t="str">
        <f t="shared" si="14"/>
        <v>-</v>
      </c>
      <c r="X423" s="6"/>
      <c r="Y423" s="6"/>
      <c r="Z423" s="6"/>
      <c r="AA423" s="6"/>
      <c r="AB423" s="6"/>
      <c r="AC423" s="6"/>
    </row>
    <row r="424" spans="1:29" x14ac:dyDescent="0.25">
      <c r="Q424" s="12" t="str">
        <f t="shared" ca="1" si="13"/>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3"/>
        <v>-</v>
      </c>
      <c r="R425" s="6"/>
      <c r="S425" s="6"/>
      <c r="T425" s="6"/>
      <c r="U425" s="6"/>
      <c r="V425" s="6"/>
      <c r="W425" s="6" t="str">
        <f t="shared" si="14"/>
        <v>-</v>
      </c>
      <c r="X425" s="6"/>
      <c r="Y425" s="6"/>
      <c r="Z425" s="6"/>
      <c r="AA425" s="6"/>
      <c r="AB425" s="6"/>
      <c r="AC425" s="6"/>
    </row>
    <row r="426" spans="1:29" x14ac:dyDescent="0.25">
      <c r="Q426" s="12" t="str">
        <f t="shared" ca="1" si="13"/>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3"/>
        <v>-</v>
      </c>
      <c r="R427" s="6"/>
      <c r="S427" s="6"/>
      <c r="T427" s="6"/>
      <c r="U427" s="6"/>
      <c r="V427" s="6"/>
      <c r="W427" s="6" t="str">
        <f t="shared" si="14"/>
        <v>-</v>
      </c>
      <c r="X427" s="6"/>
      <c r="Y427" s="6"/>
      <c r="Z427" s="6"/>
      <c r="AA427" s="6"/>
      <c r="AB427" s="6"/>
      <c r="AC427" s="6"/>
    </row>
    <row r="428" spans="1:29" x14ac:dyDescent="0.25">
      <c r="Q428" s="12" t="str">
        <f t="shared" ca="1" si="13"/>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3"/>
        <v>-</v>
      </c>
      <c r="R429" s="6"/>
      <c r="S429" s="6"/>
      <c r="T429" s="6"/>
      <c r="U429" s="6"/>
      <c r="V429" s="6"/>
      <c r="W429" s="6" t="str">
        <f t="shared" si="14"/>
        <v>-</v>
      </c>
      <c r="X429" s="6"/>
      <c r="Y429" s="6"/>
      <c r="Z429" s="6"/>
      <c r="AA429" s="6"/>
      <c r="AB429" s="6"/>
      <c r="AC429" s="6"/>
    </row>
    <row r="430" spans="1:29" x14ac:dyDescent="0.25">
      <c r="Q430" s="12" t="str">
        <f t="shared" ca="1" si="13"/>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3"/>
        <v>-</v>
      </c>
      <c r="R431" s="6"/>
      <c r="S431" s="6"/>
      <c r="T431" s="6"/>
      <c r="U431" s="6"/>
      <c r="V431" s="6"/>
      <c r="W431" s="6" t="str">
        <f t="shared" si="14"/>
        <v>-</v>
      </c>
      <c r="X431" s="6"/>
      <c r="Y431" s="6"/>
      <c r="Z431" s="6"/>
      <c r="AA431" s="6"/>
      <c r="AB431" s="6"/>
      <c r="AC431" s="6"/>
    </row>
    <row r="432" spans="1:29" x14ac:dyDescent="0.25">
      <c r="Q432" s="12" t="str">
        <f t="shared" ca="1" si="13"/>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3"/>
        <v>-</v>
      </c>
      <c r="R433" s="6"/>
      <c r="S433" s="6"/>
      <c r="T433" s="6"/>
      <c r="U433" s="6"/>
      <c r="V433" s="6"/>
      <c r="W433" s="6" t="str">
        <f t="shared" si="14"/>
        <v>-</v>
      </c>
      <c r="X433" s="6"/>
      <c r="Y433" s="6"/>
      <c r="Z433" s="6"/>
      <c r="AA433" s="6"/>
      <c r="AB433" s="6"/>
      <c r="AC433" s="6"/>
    </row>
    <row r="434" spans="1:29" x14ac:dyDescent="0.25">
      <c r="Q434" s="12" t="str">
        <f t="shared" ca="1" si="13"/>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3"/>
        <v>-</v>
      </c>
      <c r="R435" s="6"/>
      <c r="S435" s="6"/>
      <c r="T435" s="6"/>
      <c r="U435" s="6"/>
      <c r="V435" s="6"/>
      <c r="W435" s="6" t="str">
        <f t="shared" si="14"/>
        <v>-</v>
      </c>
      <c r="X435" s="6"/>
      <c r="Y435" s="6"/>
      <c r="Z435" s="6"/>
      <c r="AA435" s="6"/>
      <c r="AB435" s="6"/>
      <c r="AC435" s="6"/>
    </row>
    <row r="436" spans="1:29" x14ac:dyDescent="0.25">
      <c r="Q436" s="12" t="str">
        <f t="shared" ca="1" si="13"/>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3"/>
        <v>-</v>
      </c>
      <c r="R437" s="6"/>
      <c r="S437" s="6"/>
      <c r="T437" s="6"/>
      <c r="U437" s="6"/>
      <c r="V437" s="6"/>
      <c r="W437" s="6" t="str">
        <f t="shared" si="14"/>
        <v>-</v>
      </c>
      <c r="X437" s="6"/>
      <c r="Y437" s="6"/>
      <c r="Z437" s="6"/>
      <c r="AA437" s="6"/>
      <c r="AB437" s="6"/>
      <c r="AC437" s="6"/>
    </row>
    <row r="438" spans="1:29" x14ac:dyDescent="0.25">
      <c r="Q438" s="12" t="str">
        <f t="shared" ca="1" si="13"/>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3"/>
        <v>-</v>
      </c>
      <c r="R439" s="6"/>
      <c r="S439" s="6"/>
      <c r="T439" s="6"/>
      <c r="U439" s="6"/>
      <c r="V439" s="6"/>
      <c r="W439" s="6" t="str">
        <f t="shared" si="14"/>
        <v>-</v>
      </c>
      <c r="X439" s="6"/>
      <c r="Y439" s="6"/>
      <c r="Z439" s="6"/>
      <c r="AA439" s="6"/>
      <c r="AB439" s="6"/>
      <c r="AC439" s="6"/>
    </row>
    <row r="440" spans="1:29" x14ac:dyDescent="0.25">
      <c r="Q440" s="12" t="str">
        <f t="shared" ca="1" si="13"/>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3"/>
        <v>-</v>
      </c>
      <c r="R441" s="6"/>
      <c r="S441" s="6"/>
      <c r="T441" s="6"/>
      <c r="U441" s="6"/>
      <c r="V441" s="6"/>
      <c r="W441" s="6" t="str">
        <f t="shared" si="14"/>
        <v>-</v>
      </c>
      <c r="X441" s="6"/>
      <c r="Y441" s="6"/>
      <c r="Z441" s="6"/>
      <c r="AA441" s="6"/>
      <c r="AB441" s="6"/>
      <c r="AC441" s="6"/>
    </row>
    <row r="442" spans="1:29" x14ac:dyDescent="0.25">
      <c r="Q442" s="12" t="str">
        <f t="shared" ca="1" si="13"/>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3"/>
        <v>-</v>
      </c>
      <c r="R443" s="6"/>
      <c r="S443" s="6"/>
      <c r="T443" s="6"/>
      <c r="U443" s="6"/>
      <c r="V443" s="6"/>
      <c r="W443" s="6" t="str">
        <f t="shared" si="14"/>
        <v>-</v>
      </c>
      <c r="X443" s="6"/>
      <c r="Y443" s="6"/>
      <c r="Z443" s="6"/>
      <c r="AA443" s="6"/>
      <c r="AB443" s="6"/>
      <c r="AC443" s="6"/>
    </row>
    <row r="444" spans="1:29" x14ac:dyDescent="0.25">
      <c r="Q444" s="12" t="str">
        <f t="shared" ca="1" si="13"/>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3"/>
        <v>-</v>
      </c>
      <c r="R445" s="6"/>
      <c r="S445" s="6"/>
      <c r="T445" s="6"/>
      <c r="U445" s="6"/>
      <c r="V445" s="6"/>
      <c r="W445" s="6" t="str">
        <f t="shared" si="14"/>
        <v>-</v>
      </c>
      <c r="X445" s="6"/>
      <c r="Y445" s="6"/>
      <c r="Z445" s="6"/>
      <c r="AA445" s="6"/>
      <c r="AB445" s="6"/>
      <c r="AC445" s="6"/>
    </row>
    <row r="446" spans="1:29" x14ac:dyDescent="0.25">
      <c r="Q446" s="12" t="str">
        <f t="shared" ca="1" si="13"/>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3"/>
        <v>-</v>
      </c>
      <c r="R447" s="6"/>
      <c r="S447" s="6"/>
      <c r="T447" s="6"/>
      <c r="U447" s="6"/>
      <c r="V447" s="6"/>
      <c r="W447" s="6" t="str">
        <f t="shared" si="14"/>
        <v>-</v>
      </c>
      <c r="X447" s="6"/>
      <c r="Y447" s="6"/>
      <c r="Z447" s="6"/>
      <c r="AA447" s="6"/>
      <c r="AB447" s="6"/>
      <c r="AC447" s="6"/>
    </row>
    <row r="448" spans="1:29" x14ac:dyDescent="0.25">
      <c r="Q448" s="12" t="str">
        <f t="shared" ca="1" si="13"/>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3"/>
        <v>-</v>
      </c>
      <c r="R449" s="6"/>
      <c r="S449" s="6"/>
      <c r="T449" s="6"/>
      <c r="U449" s="6"/>
      <c r="V449" s="6"/>
      <c r="W449" s="6" t="str">
        <f t="shared" si="14"/>
        <v>-</v>
      </c>
      <c r="X449" s="6"/>
      <c r="Y449" s="6"/>
      <c r="Z449" s="6"/>
      <c r="AA449" s="6"/>
      <c r="AB449" s="6"/>
      <c r="AC449" s="6"/>
    </row>
    <row r="450" spans="1:29" x14ac:dyDescent="0.25">
      <c r="Q450" s="12" t="str">
        <f t="shared" ca="1" si="13"/>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3"/>
        <v>-</v>
      </c>
      <c r="R451" s="6"/>
      <c r="S451" s="6"/>
      <c r="T451" s="6"/>
      <c r="U451" s="6"/>
      <c r="V451" s="6"/>
      <c r="W451" s="6" t="str">
        <f t="shared" si="14"/>
        <v>-</v>
      </c>
      <c r="X451" s="6"/>
      <c r="Y451" s="6"/>
      <c r="Z451" s="6"/>
      <c r="AA451" s="6"/>
      <c r="AB451" s="6"/>
      <c r="AC451" s="6"/>
    </row>
    <row r="452" spans="1:29" x14ac:dyDescent="0.25">
      <c r="Q452" s="12" t="str">
        <f t="shared" ca="1" si="13"/>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ref="Q453:Q462" ca="1" si="15">IF(B453&gt;1/1/1900, (IF(R453="Closed",(DATEDIF(B453,P453,"d"))-(DATEDIF(M453,O453,"d")),IF(OR(R453="Pending",ISBLANK(P453)),TODAY()-B453))),"-")</f>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ca="1" si="15"/>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5"/>
        <v>-</v>
      </c>
      <c r="R455" s="6"/>
      <c r="S455" s="6"/>
      <c r="T455" s="6"/>
      <c r="U455" s="6"/>
      <c r="V455" s="6"/>
      <c r="W455" s="6" t="str">
        <f t="shared" si="16"/>
        <v>-</v>
      </c>
      <c r="X455" s="6"/>
      <c r="Y455" s="6"/>
      <c r="Z455" s="6"/>
      <c r="AA455" s="6"/>
      <c r="AB455" s="6"/>
      <c r="AC455" s="6"/>
    </row>
    <row r="456" spans="1:29" x14ac:dyDescent="0.25">
      <c r="Q456" s="12" t="str">
        <f t="shared" ca="1" si="15"/>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5"/>
        <v>-</v>
      </c>
      <c r="R457" s="6"/>
      <c r="S457" s="6"/>
      <c r="T457" s="6"/>
      <c r="U457" s="6"/>
      <c r="V457" s="6"/>
      <c r="W457" s="6" t="str">
        <f t="shared" si="16"/>
        <v>-</v>
      </c>
      <c r="X457" s="6"/>
      <c r="Y457" s="6"/>
      <c r="Z457" s="6"/>
      <c r="AA457" s="6"/>
      <c r="AB457" s="6"/>
      <c r="AC457" s="6"/>
    </row>
    <row r="458" spans="1:29" x14ac:dyDescent="0.25">
      <c r="Q458" s="12" t="str">
        <f t="shared" ca="1" si="15"/>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5"/>
        <v>-</v>
      </c>
      <c r="R459" s="6"/>
      <c r="S459" s="6"/>
      <c r="T459" s="6"/>
      <c r="U459" s="6"/>
      <c r="V459" s="6"/>
      <c r="W459" s="6" t="str">
        <f t="shared" si="16"/>
        <v>-</v>
      </c>
      <c r="X459" s="6"/>
      <c r="Y459" s="6"/>
      <c r="Z459" s="6"/>
      <c r="AA459" s="6"/>
      <c r="AB459" s="6"/>
      <c r="AC459" s="6"/>
    </row>
    <row r="460" spans="1:29" x14ac:dyDescent="0.25">
      <c r="Q460" s="12" t="str">
        <f t="shared" ca="1" si="15"/>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5"/>
        <v>-</v>
      </c>
      <c r="R461" s="6"/>
      <c r="S461" s="6"/>
      <c r="T461" s="6"/>
      <c r="U461" s="6"/>
      <c r="V461" s="6"/>
      <c r="W461" s="6" t="str">
        <f t="shared" si="16"/>
        <v>-</v>
      </c>
      <c r="X461" s="6"/>
      <c r="Y461" s="6"/>
      <c r="Z461" s="6"/>
      <c r="AA461" s="6"/>
      <c r="AB461" s="6"/>
      <c r="AC461" s="6"/>
    </row>
    <row r="462" spans="1:29" x14ac:dyDescent="0.25">
      <c r="Q462" s="12" t="str">
        <f t="shared" ca="1" si="15"/>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ref="Q463:Q517" ca="1" si="17">IF(B463&gt;1/1/1900, (IF(R463="Closed",(DATEDIF(B463,P463,"d"))-(DATEDIF(M463,O463,"d")),IF(OR(R463="Pending",ISBLANK(P463)),TODAY()-B463))),"-")</f>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Normal="100" workbookViewId="0">
      <pane ySplit="4" topLeftCell="A11" activePane="bottomLeft" state="frozen"/>
      <selection pane="bottomLeft" activeCell="K4" sqref="K4"/>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70" t="s">
        <v>747</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row>
    <row r="2" spans="1:30" ht="73.150000000000006" customHeight="1" x14ac:dyDescent="0.25">
      <c r="A2" s="171" t="s">
        <v>746</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ht="26.25" x14ac:dyDescent="0.25">
      <c r="A3" s="169" t="s">
        <v>681</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672</v>
      </c>
      <c r="L4" s="24" t="s">
        <v>673</v>
      </c>
      <c r="M4" s="24" t="s">
        <v>607</v>
      </c>
      <c r="N4" s="24" t="s">
        <v>609</v>
      </c>
      <c r="O4" s="24" t="s">
        <v>608</v>
      </c>
      <c r="P4" s="23" t="s">
        <v>581</v>
      </c>
      <c r="Q4" s="14" t="s">
        <v>582</v>
      </c>
      <c r="R4" s="22" t="s">
        <v>2</v>
      </c>
      <c r="S4" s="24" t="s">
        <v>29</v>
      </c>
      <c r="T4" s="22" t="s">
        <v>30</v>
      </c>
      <c r="U4" s="46" t="s">
        <v>630</v>
      </c>
      <c r="V4" s="24" t="s">
        <v>611</v>
      </c>
      <c r="W4" s="46" t="s">
        <v>613</v>
      </c>
      <c r="X4" s="46" t="s">
        <v>672</v>
      </c>
      <c r="Y4" s="46" t="s">
        <v>673</v>
      </c>
      <c r="Z4" s="22" t="s">
        <v>22</v>
      </c>
      <c r="AA4" s="61" t="s">
        <v>674</v>
      </c>
      <c r="AB4" s="46" t="s">
        <v>627</v>
      </c>
      <c r="AC4" s="46" t="s">
        <v>639</v>
      </c>
    </row>
    <row r="5" spans="1:30" x14ac:dyDescent="0.25">
      <c r="A5" s="6" t="s">
        <v>761</v>
      </c>
      <c r="B5" s="10">
        <v>44946</v>
      </c>
      <c r="C5" s="6" t="s">
        <v>762</v>
      </c>
      <c r="D5" s="6" t="s">
        <v>759</v>
      </c>
      <c r="E5" s="6" t="s">
        <v>760</v>
      </c>
      <c r="F5" s="6" t="s">
        <v>28</v>
      </c>
      <c r="G5" s="6"/>
      <c r="H5" s="6"/>
      <c r="I5" s="6">
        <v>1</v>
      </c>
      <c r="J5" s="6" t="s">
        <v>658</v>
      </c>
      <c r="K5" s="6" t="s">
        <v>686</v>
      </c>
      <c r="L5" s="6" t="s">
        <v>660</v>
      </c>
      <c r="M5" s="21"/>
      <c r="N5" s="6"/>
      <c r="O5" s="21"/>
      <c r="P5" s="10"/>
      <c r="Q5" s="15">
        <f t="shared" ref="Q5:Q68" ca="1" si="0">IF(B5&gt;1/1/1900, (IF(R5="Closed",(DATEDIF(B5,P5,"d"))-(DATEDIF(M5,O5,"d")),IF(OR(R5="Pending",ISBLANK(P5)),TODAY()-B5))),"-")</f>
        <v>363</v>
      </c>
      <c r="R5" s="6" t="s">
        <v>20</v>
      </c>
      <c r="S5" s="6"/>
      <c r="T5" s="6"/>
      <c r="U5" s="6"/>
      <c r="V5" s="6"/>
      <c r="W5" s="6" t="str">
        <f>IF(OR(ISBLANK(J5),ISBLANK(V5)), "-", (IF(J5=V5, "Yes", "No")))</f>
        <v>-</v>
      </c>
      <c r="X5" s="6" t="s">
        <v>686</v>
      </c>
      <c r="Y5" s="6" t="s">
        <v>660</v>
      </c>
      <c r="Z5" s="6"/>
      <c r="AA5" s="6"/>
      <c r="AB5" s="6"/>
      <c r="AC5" s="6"/>
    </row>
    <row r="6" spans="1:30" x14ac:dyDescent="0.25">
      <c r="A6" s="159" t="s">
        <v>763</v>
      </c>
      <c r="B6" s="161">
        <v>44962</v>
      </c>
      <c r="C6" s="163" t="s">
        <v>777</v>
      </c>
      <c r="D6" t="s">
        <v>759</v>
      </c>
      <c r="E6" s="6" t="s">
        <v>788</v>
      </c>
      <c r="F6" t="s">
        <v>27</v>
      </c>
      <c r="G6" t="s">
        <v>759</v>
      </c>
      <c r="H6" t="s">
        <v>788</v>
      </c>
      <c r="L6" t="s">
        <v>679</v>
      </c>
      <c r="M6" s="20"/>
      <c r="O6" s="20"/>
      <c r="Q6" s="12" t="e">
        <f t="shared" ca="1" si="0"/>
        <v>#NUM!</v>
      </c>
      <c r="R6" t="s">
        <v>21</v>
      </c>
      <c r="T6" t="s">
        <v>16</v>
      </c>
      <c r="W6" t="str">
        <f t="shared" ref="W6:W69" si="1">IF(OR(ISBLANK(J6),ISBLANK(V6)), "-", (IF(J6=V6, "Yes", "No")))</f>
        <v>-</v>
      </c>
    </row>
    <row r="7" spans="1:30" x14ac:dyDescent="0.25">
      <c r="A7" s="160" t="s">
        <v>764</v>
      </c>
      <c r="B7" s="162">
        <v>45036</v>
      </c>
      <c r="C7" s="163" t="s">
        <v>778</v>
      </c>
      <c r="D7" s="6" t="s">
        <v>759</v>
      </c>
      <c r="E7" s="6" t="s">
        <v>788</v>
      </c>
      <c r="F7" s="6" t="s">
        <v>28</v>
      </c>
      <c r="G7" s="6"/>
      <c r="H7" s="6"/>
      <c r="I7" s="6"/>
      <c r="J7" s="6"/>
      <c r="K7" s="6"/>
      <c r="L7" s="6" t="s">
        <v>675</v>
      </c>
      <c r="M7" s="21"/>
      <c r="N7" s="6"/>
      <c r="O7" s="21"/>
      <c r="P7" s="10"/>
      <c r="Q7" s="15" t="e">
        <f t="shared" ca="1" si="0"/>
        <v>#NUM!</v>
      </c>
      <c r="R7" s="6" t="s">
        <v>21</v>
      </c>
      <c r="S7" s="6"/>
      <c r="T7" s="6" t="s">
        <v>24</v>
      </c>
      <c r="U7" s="6">
        <v>1</v>
      </c>
      <c r="V7" s="6"/>
      <c r="W7" s="6" t="str">
        <f t="shared" si="1"/>
        <v>-</v>
      </c>
      <c r="X7" s="6"/>
      <c r="Y7" s="6"/>
      <c r="Z7" s="6"/>
      <c r="AA7" s="6"/>
      <c r="AB7" s="6"/>
      <c r="AC7" s="6"/>
    </row>
    <row r="8" spans="1:30" x14ac:dyDescent="0.25">
      <c r="A8" s="159" t="s">
        <v>765</v>
      </c>
      <c r="B8" s="161">
        <v>45077</v>
      </c>
      <c r="C8" s="163" t="s">
        <v>779</v>
      </c>
      <c r="D8" t="s">
        <v>759</v>
      </c>
      <c r="E8" s="6" t="s">
        <v>788</v>
      </c>
      <c r="F8" t="s">
        <v>27</v>
      </c>
      <c r="G8" t="s">
        <v>790</v>
      </c>
      <c r="H8" t="s">
        <v>788</v>
      </c>
      <c r="L8" t="s">
        <v>679</v>
      </c>
      <c r="M8" s="20"/>
      <c r="O8" s="20"/>
      <c r="Q8" s="12" t="e">
        <f t="shared" ca="1" si="0"/>
        <v>#NUM!</v>
      </c>
      <c r="R8" t="s">
        <v>21</v>
      </c>
      <c r="T8" t="s">
        <v>18</v>
      </c>
      <c r="W8" t="str">
        <f t="shared" si="1"/>
        <v>-</v>
      </c>
    </row>
    <row r="9" spans="1:30" x14ac:dyDescent="0.25">
      <c r="A9" s="160" t="s">
        <v>766</v>
      </c>
      <c r="B9" s="162">
        <v>45079</v>
      </c>
      <c r="C9" s="163" t="s">
        <v>780</v>
      </c>
      <c r="D9" s="6" t="s">
        <v>787</v>
      </c>
      <c r="E9" s="6" t="s">
        <v>788</v>
      </c>
      <c r="F9" s="6" t="s">
        <v>27</v>
      </c>
      <c r="G9" s="6" t="s">
        <v>759</v>
      </c>
      <c r="H9" s="6" t="s">
        <v>760</v>
      </c>
      <c r="I9" s="6"/>
      <c r="J9" s="6"/>
      <c r="K9" s="6"/>
      <c r="L9" s="6" t="s">
        <v>679</v>
      </c>
      <c r="M9" s="6"/>
      <c r="N9" s="6"/>
      <c r="O9" s="6"/>
      <c r="P9" s="10"/>
      <c r="Q9" s="15" t="e">
        <f t="shared" ca="1" si="0"/>
        <v>#NUM!</v>
      </c>
      <c r="R9" s="6" t="s">
        <v>21</v>
      </c>
      <c r="S9" s="6"/>
      <c r="T9" s="6" t="s">
        <v>18</v>
      </c>
      <c r="U9" s="6"/>
      <c r="V9" s="6"/>
      <c r="W9" s="6" t="str">
        <f t="shared" si="1"/>
        <v>-</v>
      </c>
      <c r="X9" s="6"/>
      <c r="Y9" s="6"/>
      <c r="Z9" s="6"/>
      <c r="AA9" s="6"/>
      <c r="AB9" s="6"/>
      <c r="AC9" s="6"/>
    </row>
    <row r="10" spans="1:30" x14ac:dyDescent="0.25">
      <c r="A10" s="159" t="s">
        <v>767</v>
      </c>
      <c r="B10" s="161">
        <v>45135</v>
      </c>
      <c r="C10" s="163" t="s">
        <v>781</v>
      </c>
      <c r="D10" t="s">
        <v>759</v>
      </c>
      <c r="E10" s="6" t="s">
        <v>788</v>
      </c>
      <c r="F10" t="s">
        <v>27</v>
      </c>
      <c r="G10" t="s">
        <v>759</v>
      </c>
      <c r="H10" t="s">
        <v>760</v>
      </c>
      <c r="L10" t="s">
        <v>679</v>
      </c>
      <c r="Q10" s="12" t="e">
        <f t="shared" ca="1" si="0"/>
        <v>#NUM!</v>
      </c>
      <c r="R10" t="s">
        <v>21</v>
      </c>
      <c r="T10" t="s">
        <v>18</v>
      </c>
      <c r="W10" t="str">
        <f t="shared" si="1"/>
        <v>-</v>
      </c>
    </row>
    <row r="11" spans="1:30" x14ac:dyDescent="0.25">
      <c r="A11" s="160" t="s">
        <v>768</v>
      </c>
      <c r="B11" s="162">
        <v>45144</v>
      </c>
      <c r="C11" s="163" t="s">
        <v>782</v>
      </c>
      <c r="D11" s="6" t="s">
        <v>759</v>
      </c>
      <c r="E11" s="6" t="s">
        <v>788</v>
      </c>
      <c r="F11" s="6" t="s">
        <v>27</v>
      </c>
      <c r="G11" s="6" t="s">
        <v>759</v>
      </c>
      <c r="H11" s="6" t="s">
        <v>788</v>
      </c>
      <c r="I11" s="6"/>
      <c r="J11" s="6"/>
      <c r="K11" s="6"/>
      <c r="L11" s="6" t="s">
        <v>679</v>
      </c>
      <c r="M11" s="6"/>
      <c r="N11" s="6"/>
      <c r="O11" s="6"/>
      <c r="P11" s="10"/>
      <c r="Q11" s="15" t="e">
        <f t="shared" ca="1" si="0"/>
        <v>#NUM!</v>
      </c>
      <c r="R11" s="6" t="s">
        <v>21</v>
      </c>
      <c r="S11" s="6"/>
      <c r="T11" s="6" t="s">
        <v>18</v>
      </c>
      <c r="U11" s="6"/>
      <c r="V11" s="6"/>
      <c r="W11" s="6" t="str">
        <f t="shared" si="1"/>
        <v>-</v>
      </c>
      <c r="X11" s="6"/>
      <c r="Y11" s="6"/>
      <c r="Z11" s="6"/>
      <c r="AA11" s="6"/>
      <c r="AB11" s="6"/>
      <c r="AC11" s="6"/>
    </row>
    <row r="12" spans="1:30" x14ac:dyDescent="0.25">
      <c r="A12" s="159" t="s">
        <v>769</v>
      </c>
      <c r="B12" s="161">
        <v>45144</v>
      </c>
      <c r="C12" s="163" t="s">
        <v>783</v>
      </c>
      <c r="D12" t="s">
        <v>759</v>
      </c>
      <c r="E12" s="6" t="s">
        <v>788</v>
      </c>
      <c r="F12" t="s">
        <v>28</v>
      </c>
      <c r="L12" t="s">
        <v>675</v>
      </c>
      <c r="Q12" s="12" t="e">
        <f t="shared" ca="1" si="0"/>
        <v>#NUM!</v>
      </c>
      <c r="R12" t="s">
        <v>21</v>
      </c>
      <c r="T12" t="s">
        <v>24</v>
      </c>
      <c r="U12">
        <v>1</v>
      </c>
      <c r="W12" t="str">
        <f t="shared" si="1"/>
        <v>-</v>
      </c>
    </row>
    <row r="13" spans="1:30" x14ac:dyDescent="0.25">
      <c r="A13" s="160" t="s">
        <v>770</v>
      </c>
      <c r="B13" s="162">
        <v>45145</v>
      </c>
      <c r="C13" s="163" t="s">
        <v>784</v>
      </c>
      <c r="D13" s="6" t="s">
        <v>759</v>
      </c>
      <c r="E13" s="6" t="s">
        <v>788</v>
      </c>
      <c r="F13" s="6"/>
      <c r="G13" s="6" t="s">
        <v>789</v>
      </c>
      <c r="H13" s="6" t="s">
        <v>788</v>
      </c>
      <c r="I13" s="6"/>
      <c r="J13" s="6"/>
      <c r="K13" s="6"/>
      <c r="L13" s="6" t="s">
        <v>679</v>
      </c>
      <c r="M13" s="6"/>
      <c r="N13" s="6"/>
      <c r="O13" s="6"/>
      <c r="P13" s="10"/>
      <c r="Q13" s="15" t="e">
        <f t="shared" ca="1" si="0"/>
        <v>#NUM!</v>
      </c>
      <c r="R13" s="6" t="s">
        <v>21</v>
      </c>
      <c r="S13" s="6"/>
      <c r="T13" s="6" t="s">
        <v>16</v>
      </c>
      <c r="U13" s="6"/>
      <c r="V13" s="6"/>
      <c r="W13" s="6" t="str">
        <f t="shared" si="1"/>
        <v>-</v>
      </c>
      <c r="X13" s="6"/>
      <c r="Y13" s="6"/>
      <c r="Z13" s="6"/>
      <c r="AA13" s="6"/>
      <c r="AB13" s="6"/>
      <c r="AC13" s="6"/>
    </row>
    <row r="14" spans="1:30" x14ac:dyDescent="0.25">
      <c r="A14" s="159" t="s">
        <v>771</v>
      </c>
      <c r="B14" s="161">
        <v>45145</v>
      </c>
      <c r="C14" s="163" t="s">
        <v>778</v>
      </c>
      <c r="D14" t="s">
        <v>759</v>
      </c>
      <c r="E14" s="6" t="s">
        <v>788</v>
      </c>
      <c r="F14" t="s">
        <v>27</v>
      </c>
      <c r="G14" t="s">
        <v>789</v>
      </c>
      <c r="H14" t="s">
        <v>788</v>
      </c>
      <c r="L14" t="s">
        <v>679</v>
      </c>
      <c r="Q14" s="12" t="e">
        <f t="shared" ca="1" si="0"/>
        <v>#NUM!</v>
      </c>
      <c r="R14" t="s">
        <v>21</v>
      </c>
      <c r="T14" t="s">
        <v>24</v>
      </c>
      <c r="U14">
        <v>1</v>
      </c>
      <c r="W14" t="str">
        <f t="shared" si="1"/>
        <v>-</v>
      </c>
    </row>
    <row r="15" spans="1:30" x14ac:dyDescent="0.25">
      <c r="A15" s="160" t="s">
        <v>772</v>
      </c>
      <c r="B15" s="162">
        <v>45166</v>
      </c>
      <c r="C15" s="163" t="s">
        <v>781</v>
      </c>
      <c r="D15" s="6" t="s">
        <v>759</v>
      </c>
      <c r="E15" s="6" t="s">
        <v>788</v>
      </c>
      <c r="F15" s="6" t="s">
        <v>27</v>
      </c>
      <c r="G15" s="6" t="s">
        <v>759</v>
      </c>
      <c r="H15" s="6" t="s">
        <v>760</v>
      </c>
      <c r="I15" s="6"/>
      <c r="J15" s="6"/>
      <c r="K15" s="6"/>
      <c r="L15" s="6" t="s">
        <v>679</v>
      </c>
      <c r="M15" s="6"/>
      <c r="N15" s="6"/>
      <c r="O15" s="6"/>
      <c r="P15" s="10"/>
      <c r="Q15" s="15" t="e">
        <f t="shared" ca="1" si="0"/>
        <v>#NUM!</v>
      </c>
      <c r="R15" s="6" t="s">
        <v>21</v>
      </c>
      <c r="S15" s="6"/>
      <c r="T15" s="6" t="s">
        <v>16</v>
      </c>
      <c r="U15" s="6"/>
      <c r="V15" s="6"/>
      <c r="W15" s="6" t="str">
        <f t="shared" si="1"/>
        <v>-</v>
      </c>
      <c r="X15" s="6"/>
      <c r="Y15" s="6"/>
      <c r="Z15" s="6"/>
      <c r="AA15" s="6"/>
      <c r="AB15" s="6"/>
      <c r="AC15" s="6"/>
    </row>
    <row r="16" spans="1:30" x14ac:dyDescent="0.25">
      <c r="A16" s="159" t="s">
        <v>773</v>
      </c>
      <c r="B16" s="161">
        <v>45166</v>
      </c>
      <c r="C16" s="163" t="s">
        <v>777</v>
      </c>
      <c r="D16" t="s">
        <v>759</v>
      </c>
      <c r="E16" s="6" t="s">
        <v>788</v>
      </c>
      <c r="F16" t="s">
        <v>27</v>
      </c>
      <c r="G16" t="s">
        <v>759</v>
      </c>
      <c r="H16" t="s">
        <v>760</v>
      </c>
      <c r="L16" t="s">
        <v>679</v>
      </c>
      <c r="Q16" s="12" t="e">
        <f t="shared" ca="1" si="0"/>
        <v>#NUM!</v>
      </c>
      <c r="R16" t="s">
        <v>21</v>
      </c>
      <c r="T16" t="s">
        <v>16</v>
      </c>
      <c r="W16" t="str">
        <f t="shared" si="1"/>
        <v>-</v>
      </c>
    </row>
    <row r="17" spans="1:29" x14ac:dyDescent="0.25">
      <c r="A17" s="160" t="s">
        <v>774</v>
      </c>
      <c r="B17" s="162">
        <v>45203</v>
      </c>
      <c r="C17" s="163" t="s">
        <v>779</v>
      </c>
      <c r="D17" s="6" t="s">
        <v>759</v>
      </c>
      <c r="E17" s="6" t="s">
        <v>788</v>
      </c>
      <c r="F17" s="6" t="s">
        <v>28</v>
      </c>
      <c r="G17" s="6"/>
      <c r="H17" s="6"/>
      <c r="I17" s="6"/>
      <c r="J17" s="6"/>
      <c r="K17" s="6"/>
      <c r="L17" s="6" t="s">
        <v>675</v>
      </c>
      <c r="M17" s="6"/>
      <c r="N17" s="6"/>
      <c r="O17" s="6"/>
      <c r="P17" s="10"/>
      <c r="Q17" s="15" t="e">
        <f t="shared" ca="1" si="0"/>
        <v>#NUM!</v>
      </c>
      <c r="R17" s="6" t="s">
        <v>21</v>
      </c>
      <c r="S17" s="6"/>
      <c r="T17" s="6" t="s">
        <v>24</v>
      </c>
      <c r="U17" s="6">
        <v>1</v>
      </c>
      <c r="V17" s="6"/>
      <c r="W17" s="6" t="str">
        <f t="shared" si="1"/>
        <v>-</v>
      </c>
      <c r="X17" s="6"/>
      <c r="Y17" s="6"/>
      <c r="Z17" s="6"/>
      <c r="AA17" s="6"/>
      <c r="AB17" s="6"/>
      <c r="AC17" s="6"/>
    </row>
    <row r="18" spans="1:29" x14ac:dyDescent="0.25">
      <c r="A18" s="159" t="s">
        <v>775</v>
      </c>
      <c r="B18" s="161">
        <v>45226</v>
      </c>
      <c r="C18" s="163" t="s">
        <v>785</v>
      </c>
      <c r="D18" t="s">
        <v>759</v>
      </c>
      <c r="E18" s="6" t="s">
        <v>788</v>
      </c>
      <c r="F18" t="s">
        <v>28</v>
      </c>
      <c r="L18" t="s">
        <v>691</v>
      </c>
      <c r="Q18" s="12" t="e">
        <f t="shared" ca="1" si="0"/>
        <v>#NUM!</v>
      </c>
      <c r="R18" t="s">
        <v>21</v>
      </c>
      <c r="T18" t="s">
        <v>24</v>
      </c>
      <c r="U18">
        <v>1</v>
      </c>
      <c r="W18" t="str">
        <f t="shared" si="1"/>
        <v>-</v>
      </c>
    </row>
    <row r="19" spans="1:29" x14ac:dyDescent="0.25">
      <c r="A19" s="160" t="s">
        <v>776</v>
      </c>
      <c r="B19" s="162">
        <v>45236</v>
      </c>
      <c r="C19" s="163" t="s">
        <v>786</v>
      </c>
      <c r="D19" s="6" t="s">
        <v>759</v>
      </c>
      <c r="E19" s="6" t="s">
        <v>788</v>
      </c>
      <c r="F19" s="6" t="s">
        <v>28</v>
      </c>
      <c r="G19" s="6"/>
      <c r="H19" s="6"/>
      <c r="I19" s="6"/>
      <c r="J19" s="6"/>
      <c r="K19" s="6"/>
      <c r="L19" s="6" t="s">
        <v>675</v>
      </c>
      <c r="M19" s="6"/>
      <c r="N19" s="6"/>
      <c r="O19" s="6"/>
      <c r="P19" s="10"/>
      <c r="Q19" s="15" t="e">
        <f t="shared" ca="1" si="0"/>
        <v>#NUM!</v>
      </c>
      <c r="R19" s="6" t="s">
        <v>21</v>
      </c>
      <c r="S19" s="6"/>
      <c r="T19" s="6" t="s">
        <v>24</v>
      </c>
      <c r="U19" s="6">
        <v>1</v>
      </c>
      <c r="V19" s="6"/>
      <c r="W19" s="6" t="str">
        <f t="shared" si="1"/>
        <v>-</v>
      </c>
      <c r="X19" s="6"/>
      <c r="Y19" s="6"/>
      <c r="Z19" s="6"/>
      <c r="AA19" s="6"/>
      <c r="AB19" s="6"/>
      <c r="AC19" s="6"/>
    </row>
    <row r="20" spans="1:29" x14ac:dyDescent="0.25">
      <c r="Q20" s="12" t="str">
        <f t="shared" ca="1" si="0"/>
        <v>-</v>
      </c>
      <c r="W20" t="str">
        <f t="shared" si="1"/>
        <v>-</v>
      </c>
    </row>
    <row r="21" spans="1:29" x14ac:dyDescent="0.25">
      <c r="A21" s="6"/>
      <c r="B21" s="10"/>
      <c r="C21" s="6"/>
      <c r="D21" s="6"/>
      <c r="E21" s="6"/>
      <c r="F21" s="6"/>
      <c r="G21" s="6"/>
      <c r="H21" s="6"/>
      <c r="I21" s="17"/>
      <c r="J21" s="6"/>
      <c r="K21" s="6"/>
      <c r="L21" s="6"/>
      <c r="M21" s="6"/>
      <c r="N21" s="6"/>
      <c r="O21" s="6"/>
      <c r="P21" s="10"/>
      <c r="Q21" s="15" t="str">
        <f t="shared" ca="1" si="0"/>
        <v>-</v>
      </c>
      <c r="R21" s="6"/>
      <c r="S21" s="6"/>
      <c r="T21" s="6"/>
      <c r="U21" s="17"/>
      <c r="V21" s="6"/>
      <c r="W21" s="17" t="str">
        <f t="shared" si="1"/>
        <v>-</v>
      </c>
      <c r="X21" s="17"/>
      <c r="Y21" s="17"/>
      <c r="Z21" s="6"/>
      <c r="AA21" s="6"/>
      <c r="AB21" s="6"/>
      <c r="AC21" s="6"/>
    </row>
    <row r="22" spans="1:29" x14ac:dyDescent="0.25">
      <c r="Q22" s="12" t="str">
        <f t="shared" ca="1" si="0"/>
        <v>-</v>
      </c>
      <c r="W22" t="str">
        <f t="shared" si="1"/>
        <v>-</v>
      </c>
    </row>
    <row r="23" spans="1:29" x14ac:dyDescent="0.25">
      <c r="A23" s="6"/>
      <c r="B23" s="10"/>
      <c r="C23" s="6"/>
      <c r="D23" s="6"/>
      <c r="E23" s="6"/>
      <c r="F23" s="6"/>
      <c r="G23" s="6"/>
      <c r="H23" s="6"/>
      <c r="I23" s="17"/>
      <c r="J23" s="6"/>
      <c r="K23" s="6"/>
      <c r="L23" s="6"/>
      <c r="M23" s="6"/>
      <c r="N23" s="6"/>
      <c r="O23" s="6"/>
      <c r="P23" s="10"/>
      <c r="Q23" s="15" t="str">
        <f t="shared" ca="1" si="0"/>
        <v>-</v>
      </c>
      <c r="R23" s="6"/>
      <c r="S23" s="6"/>
      <c r="T23" s="6"/>
      <c r="U23" s="17"/>
      <c r="V23" s="6"/>
      <c r="W23" s="17" t="str">
        <f t="shared" si="1"/>
        <v>-</v>
      </c>
      <c r="X23" s="17"/>
      <c r="Y23" s="17"/>
      <c r="Z23" s="6"/>
      <c r="AA23" s="6"/>
      <c r="AB23" s="6"/>
      <c r="AC23" s="6"/>
    </row>
    <row r="24" spans="1:29" x14ac:dyDescent="0.25">
      <c r="Q24" s="12" t="str">
        <f t="shared" ca="1" si="0"/>
        <v>-</v>
      </c>
      <c r="W24" t="str">
        <f t="shared" si="1"/>
        <v>-</v>
      </c>
    </row>
    <row r="25" spans="1:29" x14ac:dyDescent="0.25">
      <c r="A25" s="6"/>
      <c r="B25" s="10"/>
      <c r="C25" s="6"/>
      <c r="D25" s="6"/>
      <c r="E25" s="6"/>
      <c r="F25" s="6"/>
      <c r="G25" s="6"/>
      <c r="H25" s="6"/>
      <c r="I25" s="6"/>
      <c r="J25" s="6"/>
      <c r="K25" s="6"/>
      <c r="L25" s="6"/>
      <c r="M25" s="6"/>
      <c r="N25" s="6"/>
      <c r="O25" s="6"/>
      <c r="P25" s="10"/>
      <c r="Q25" s="15" t="str">
        <f t="shared" ca="1" si="0"/>
        <v>-</v>
      </c>
      <c r="R25" s="6"/>
      <c r="S25" s="6"/>
      <c r="T25" s="6"/>
      <c r="U25" s="6"/>
      <c r="V25" s="6"/>
      <c r="W25" s="6" t="str">
        <f t="shared" si="1"/>
        <v>-</v>
      </c>
      <c r="X25" s="6"/>
      <c r="Y25" s="6"/>
      <c r="Z25" s="6"/>
      <c r="AA25" s="6"/>
      <c r="AB25" s="6"/>
      <c r="AC25" s="6"/>
    </row>
    <row r="26" spans="1:29" x14ac:dyDescent="0.25">
      <c r="Q26" s="12" t="str">
        <f t="shared" ca="1" si="0"/>
        <v>-</v>
      </c>
      <c r="W26" t="str">
        <f t="shared" si="1"/>
        <v>-</v>
      </c>
    </row>
    <row r="27" spans="1:29" x14ac:dyDescent="0.25">
      <c r="A27" s="6"/>
      <c r="B27" s="10"/>
      <c r="C27" s="6"/>
      <c r="D27" s="6"/>
      <c r="E27" s="6"/>
      <c r="F27" s="6"/>
      <c r="G27" s="6"/>
      <c r="H27" s="6"/>
      <c r="I27" s="6"/>
      <c r="J27" s="6"/>
      <c r="K27" s="6"/>
      <c r="L27" s="6"/>
      <c r="M27" s="6"/>
      <c r="N27" s="6"/>
      <c r="O27" s="6"/>
      <c r="P27" s="10"/>
      <c r="Q27" s="15" t="str">
        <f t="shared" ca="1" si="0"/>
        <v>-</v>
      </c>
      <c r="R27" s="6"/>
      <c r="S27" s="6"/>
      <c r="T27" s="6"/>
      <c r="U27" s="6"/>
      <c r="V27" s="6"/>
      <c r="W27" s="6" t="str">
        <f t="shared" si="1"/>
        <v>-</v>
      </c>
      <c r="X27" s="6"/>
      <c r="Y27" s="6"/>
      <c r="Z27" s="6"/>
      <c r="AA27" s="6"/>
      <c r="AB27" s="6"/>
      <c r="AC27" s="6"/>
    </row>
    <row r="28" spans="1:29" x14ac:dyDescent="0.25">
      <c r="Q28" s="12" t="str">
        <f t="shared" ca="1" si="0"/>
        <v>-</v>
      </c>
      <c r="W28" t="str">
        <f t="shared" si="1"/>
        <v>-</v>
      </c>
    </row>
    <row r="29" spans="1:29" x14ac:dyDescent="0.25">
      <c r="A29" s="17"/>
      <c r="B29" s="18"/>
      <c r="C29" s="17"/>
      <c r="D29" s="17"/>
      <c r="E29" s="17"/>
      <c r="F29" s="17"/>
      <c r="G29" s="17"/>
      <c r="H29" s="17"/>
      <c r="I29" s="6"/>
      <c r="J29" s="17"/>
      <c r="K29" s="17"/>
      <c r="L29" s="17"/>
      <c r="M29" s="17"/>
      <c r="N29" s="17"/>
      <c r="O29" s="17"/>
      <c r="P29" s="18"/>
      <c r="Q29" s="15" t="str">
        <f t="shared" ca="1" si="0"/>
        <v>-</v>
      </c>
      <c r="R29" s="17"/>
      <c r="S29" s="17"/>
      <c r="T29" s="17"/>
      <c r="U29" s="6"/>
      <c r="V29" s="17"/>
      <c r="W29" s="6" t="str">
        <f t="shared" si="1"/>
        <v>-</v>
      </c>
      <c r="X29" s="6"/>
      <c r="Y29" s="6"/>
      <c r="Z29" s="17"/>
      <c r="AA29" s="17"/>
      <c r="AB29" s="6"/>
      <c r="AC29" s="17"/>
    </row>
    <row r="30" spans="1:29" x14ac:dyDescent="0.25">
      <c r="Q30" s="12" t="str">
        <f t="shared" ca="1" si="0"/>
        <v>-</v>
      </c>
      <c r="W30" t="str">
        <f t="shared" si="1"/>
        <v>-</v>
      </c>
    </row>
    <row r="31" spans="1:29" x14ac:dyDescent="0.25">
      <c r="A31" s="17"/>
      <c r="B31" s="18"/>
      <c r="C31" s="17"/>
      <c r="D31" s="17"/>
      <c r="E31" s="17"/>
      <c r="F31" s="17"/>
      <c r="G31" s="17"/>
      <c r="H31" s="17"/>
      <c r="I31" s="6"/>
      <c r="J31" s="17"/>
      <c r="K31" s="17"/>
      <c r="L31" s="17"/>
      <c r="M31" s="17"/>
      <c r="N31" s="17"/>
      <c r="O31" s="17"/>
      <c r="P31" s="18"/>
      <c r="Q31" s="15" t="str">
        <f t="shared" ca="1" si="0"/>
        <v>-</v>
      </c>
      <c r="R31" s="17"/>
      <c r="S31" s="17"/>
      <c r="T31" s="17"/>
      <c r="U31" s="6"/>
      <c r="V31" s="17"/>
      <c r="W31" s="6" t="str">
        <f t="shared" si="1"/>
        <v>-</v>
      </c>
      <c r="X31" s="6"/>
      <c r="Y31" s="6"/>
      <c r="Z31" s="17"/>
      <c r="AA31" s="17"/>
      <c r="AB31" s="6"/>
      <c r="AC31" s="17"/>
    </row>
    <row r="32" spans="1:29" x14ac:dyDescent="0.25">
      <c r="Q32" s="12" t="str">
        <f t="shared" ca="1" si="0"/>
        <v>-</v>
      </c>
      <c r="W32" t="str">
        <f t="shared" si="1"/>
        <v>-</v>
      </c>
    </row>
    <row r="33" spans="1:29" x14ac:dyDescent="0.25">
      <c r="A33" s="6"/>
      <c r="B33" s="10"/>
      <c r="C33" s="6"/>
      <c r="D33" s="6"/>
      <c r="E33" s="6"/>
      <c r="F33" s="6"/>
      <c r="G33" s="6"/>
      <c r="H33" s="6"/>
      <c r="I33" s="6"/>
      <c r="J33" s="6"/>
      <c r="K33" s="6"/>
      <c r="L33" s="6"/>
      <c r="M33" s="6"/>
      <c r="N33" s="6"/>
      <c r="O33" s="6"/>
      <c r="P33" s="10"/>
      <c r="Q33" s="15" t="str">
        <f t="shared" ca="1" si="0"/>
        <v>-</v>
      </c>
      <c r="R33" s="6"/>
      <c r="S33" s="6"/>
      <c r="T33" s="6"/>
      <c r="U33" s="6"/>
      <c r="V33" s="6"/>
      <c r="W33" s="6" t="str">
        <f t="shared" si="1"/>
        <v>-</v>
      </c>
      <c r="X33" s="6"/>
      <c r="Y33" s="6"/>
      <c r="Z33" s="6"/>
      <c r="AA33" s="6"/>
      <c r="AB33" s="6"/>
      <c r="AC33" s="6"/>
    </row>
    <row r="34" spans="1:29" x14ac:dyDescent="0.25">
      <c r="Q34" s="12" t="str">
        <f t="shared" ca="1" si="0"/>
        <v>-</v>
      </c>
      <c r="W34" t="str">
        <f t="shared" si="1"/>
        <v>-</v>
      </c>
    </row>
    <row r="35" spans="1:29" x14ac:dyDescent="0.25">
      <c r="A35" s="6"/>
      <c r="B35" s="10"/>
      <c r="C35" s="6"/>
      <c r="D35" s="6"/>
      <c r="E35" s="6"/>
      <c r="F35" s="6"/>
      <c r="G35" s="6"/>
      <c r="H35" s="6"/>
      <c r="I35" s="6"/>
      <c r="J35" s="6"/>
      <c r="K35" s="6"/>
      <c r="L35" s="6"/>
      <c r="M35" s="6"/>
      <c r="N35" s="6"/>
      <c r="O35" s="6"/>
      <c r="P35" s="10"/>
      <c r="Q35" s="15" t="str">
        <f t="shared" ca="1" si="0"/>
        <v>-</v>
      </c>
      <c r="R35" s="6"/>
      <c r="S35" s="6"/>
      <c r="T35" s="6"/>
      <c r="U35" s="6"/>
      <c r="V35" s="6"/>
      <c r="W35" s="6" t="str">
        <f t="shared" si="1"/>
        <v>-</v>
      </c>
      <c r="X35" s="6"/>
      <c r="Y35" s="6"/>
      <c r="Z35" s="6"/>
      <c r="AA35" s="6"/>
      <c r="AB35" s="6"/>
      <c r="AC35" s="6"/>
    </row>
    <row r="36" spans="1:29" x14ac:dyDescent="0.25">
      <c r="Q36" s="12" t="str">
        <f t="shared" ca="1" si="0"/>
        <v>-</v>
      </c>
      <c r="W36" t="str">
        <f t="shared" si="1"/>
        <v>-</v>
      </c>
    </row>
    <row r="37" spans="1:29" x14ac:dyDescent="0.25">
      <c r="A37" s="6"/>
      <c r="B37" s="10"/>
      <c r="C37" s="6"/>
      <c r="D37" s="6"/>
      <c r="E37" s="6"/>
      <c r="F37" s="6"/>
      <c r="G37" s="6"/>
      <c r="H37" s="6"/>
      <c r="I37" s="6"/>
      <c r="J37" s="6"/>
      <c r="K37" s="6"/>
      <c r="L37" s="6"/>
      <c r="M37" s="6"/>
      <c r="N37" s="6"/>
      <c r="O37" s="6"/>
      <c r="P37" s="10"/>
      <c r="Q37" s="15" t="str">
        <f t="shared" ca="1" si="0"/>
        <v>-</v>
      </c>
      <c r="R37" s="6"/>
      <c r="S37" s="6"/>
      <c r="T37" s="6"/>
      <c r="U37" s="6"/>
      <c r="V37" s="6"/>
      <c r="W37" s="6" t="str">
        <f t="shared" si="1"/>
        <v>-</v>
      </c>
      <c r="X37" s="6"/>
      <c r="Y37" s="6"/>
      <c r="Z37" s="6"/>
      <c r="AA37" s="6"/>
      <c r="AB37" s="6"/>
      <c r="AC37" s="6"/>
    </row>
    <row r="38" spans="1:29" x14ac:dyDescent="0.25">
      <c r="Q38" s="12" t="str">
        <f t="shared" ca="1" si="0"/>
        <v>-</v>
      </c>
      <c r="W38" t="str">
        <f t="shared" si="1"/>
        <v>-</v>
      </c>
    </row>
    <row r="39" spans="1:29" x14ac:dyDescent="0.25">
      <c r="A39" s="6"/>
      <c r="B39" s="10"/>
      <c r="C39" s="6"/>
      <c r="D39" s="6"/>
      <c r="E39" s="6"/>
      <c r="F39" s="6"/>
      <c r="G39" s="6"/>
      <c r="H39" s="6"/>
      <c r="I39" s="6"/>
      <c r="J39" s="6"/>
      <c r="K39" s="6"/>
      <c r="L39" s="6"/>
      <c r="M39" s="6"/>
      <c r="N39" s="6"/>
      <c r="O39" s="6"/>
      <c r="P39" s="10"/>
      <c r="Q39" s="15" t="str">
        <f t="shared" ca="1" si="0"/>
        <v>-</v>
      </c>
      <c r="R39" s="6"/>
      <c r="S39" s="6"/>
      <c r="T39" s="6"/>
      <c r="U39" s="6"/>
      <c r="V39" s="6"/>
      <c r="W39" s="6" t="str">
        <f t="shared" si="1"/>
        <v>-</v>
      </c>
      <c r="X39" s="6"/>
      <c r="Y39" s="6"/>
      <c r="Z39" s="6"/>
      <c r="AA39" s="6"/>
      <c r="AB39" s="6"/>
      <c r="AC39" s="6"/>
    </row>
    <row r="40" spans="1:29" x14ac:dyDescent="0.25">
      <c r="Q40" s="12" t="str">
        <f t="shared" ca="1" si="0"/>
        <v>-</v>
      </c>
      <c r="W40" t="str">
        <f t="shared" si="1"/>
        <v>-</v>
      </c>
    </row>
    <row r="41" spans="1:29" x14ac:dyDescent="0.25">
      <c r="A41" s="6"/>
      <c r="B41" s="10"/>
      <c r="C41" s="6"/>
      <c r="D41" s="6"/>
      <c r="E41" s="6"/>
      <c r="F41" s="6"/>
      <c r="G41" s="6"/>
      <c r="H41" s="6"/>
      <c r="I41" s="6"/>
      <c r="J41" s="6"/>
      <c r="K41" s="6"/>
      <c r="L41" s="6"/>
      <c r="M41" s="6"/>
      <c r="N41" s="6"/>
      <c r="O41" s="6"/>
      <c r="P41" s="10"/>
      <c r="Q41" s="15" t="str">
        <f t="shared" ca="1" si="0"/>
        <v>-</v>
      </c>
      <c r="R41" s="6"/>
      <c r="S41" s="6"/>
      <c r="T41" s="6"/>
      <c r="U41" s="6"/>
      <c r="V41" s="6"/>
      <c r="W41" s="6" t="str">
        <f t="shared" si="1"/>
        <v>-</v>
      </c>
      <c r="X41" s="6"/>
      <c r="Y41" s="6"/>
      <c r="Z41" s="6"/>
      <c r="AA41" s="6"/>
      <c r="AB41" s="6"/>
      <c r="AC41" s="6"/>
    </row>
    <row r="42" spans="1:29" x14ac:dyDescent="0.25">
      <c r="Q42" s="12" t="str">
        <f t="shared" ca="1" si="0"/>
        <v>-</v>
      </c>
      <c r="W42" t="str">
        <f t="shared" si="1"/>
        <v>-</v>
      </c>
    </row>
    <row r="43" spans="1:29" x14ac:dyDescent="0.25">
      <c r="A43" s="6"/>
      <c r="B43" s="10"/>
      <c r="C43" s="6"/>
      <c r="D43" s="6"/>
      <c r="E43" s="6"/>
      <c r="F43" s="6"/>
      <c r="G43" s="6"/>
      <c r="H43" s="6"/>
      <c r="I43" s="6"/>
      <c r="J43" s="6"/>
      <c r="K43" s="6"/>
      <c r="L43" s="6"/>
      <c r="M43" s="6"/>
      <c r="N43" s="6"/>
      <c r="O43" s="6"/>
      <c r="P43" s="10"/>
      <c r="Q43" s="15" t="str">
        <f t="shared" ca="1" si="0"/>
        <v>-</v>
      </c>
      <c r="R43" s="6"/>
      <c r="S43" s="6"/>
      <c r="T43" s="6"/>
      <c r="U43" s="6"/>
      <c r="V43" s="6"/>
      <c r="W43" s="6" t="str">
        <f t="shared" si="1"/>
        <v>-</v>
      </c>
      <c r="X43" s="6"/>
      <c r="Y43" s="6"/>
      <c r="Z43" s="6"/>
      <c r="AA43" s="6"/>
      <c r="AB43" s="6"/>
      <c r="AC43" s="6"/>
    </row>
    <row r="44" spans="1:29" x14ac:dyDescent="0.25">
      <c r="Q44" s="12" t="str">
        <f t="shared" ca="1" si="0"/>
        <v>-</v>
      </c>
      <c r="W44" t="str">
        <f t="shared" si="1"/>
        <v>-</v>
      </c>
    </row>
    <row r="45" spans="1:29" x14ac:dyDescent="0.25">
      <c r="A45" s="6"/>
      <c r="B45" s="10"/>
      <c r="C45" s="6"/>
      <c r="D45" s="6"/>
      <c r="E45" s="6"/>
      <c r="F45" s="6"/>
      <c r="G45" s="6"/>
      <c r="H45" s="6"/>
      <c r="I45" s="6"/>
      <c r="J45" s="6"/>
      <c r="K45" s="6"/>
      <c r="L45" s="6"/>
      <c r="M45" s="6"/>
      <c r="N45" s="6"/>
      <c r="O45" s="6"/>
      <c r="P45" s="10"/>
      <c r="Q45" s="15" t="str">
        <f t="shared" ca="1" si="0"/>
        <v>-</v>
      </c>
      <c r="R45" s="6"/>
      <c r="S45" s="6"/>
      <c r="T45" s="6"/>
      <c r="U45" s="6"/>
      <c r="V45" s="6"/>
      <c r="W45" s="6" t="str">
        <f t="shared" si="1"/>
        <v>-</v>
      </c>
      <c r="X45" s="6"/>
      <c r="Y45" s="6"/>
      <c r="Z45" s="6"/>
      <c r="AA45" s="6"/>
      <c r="AB45" s="6"/>
      <c r="AC45" s="6"/>
    </row>
    <row r="46" spans="1:29" x14ac:dyDescent="0.25">
      <c r="Q46" s="12" t="str">
        <f t="shared" ca="1" si="0"/>
        <v>-</v>
      </c>
      <c r="W46" t="str">
        <f t="shared" si="1"/>
        <v>-</v>
      </c>
    </row>
    <row r="47" spans="1:29" x14ac:dyDescent="0.25">
      <c r="A47" s="6"/>
      <c r="B47" s="10"/>
      <c r="C47" s="6"/>
      <c r="D47" s="6"/>
      <c r="E47" s="6"/>
      <c r="F47" s="6"/>
      <c r="G47" s="6"/>
      <c r="H47" s="6"/>
      <c r="I47" s="6"/>
      <c r="J47" s="6"/>
      <c r="K47" s="6"/>
      <c r="L47" s="6"/>
      <c r="M47" s="6"/>
      <c r="N47" s="6"/>
      <c r="O47" s="6"/>
      <c r="P47" s="10"/>
      <c r="Q47" s="15" t="str">
        <f t="shared" ca="1" si="0"/>
        <v>-</v>
      </c>
      <c r="R47" s="6"/>
      <c r="S47" s="6"/>
      <c r="T47" s="6"/>
      <c r="U47" s="6"/>
      <c r="V47" s="6"/>
      <c r="W47" s="6" t="str">
        <f t="shared" si="1"/>
        <v>-</v>
      </c>
      <c r="X47" s="6"/>
      <c r="Y47" s="6"/>
      <c r="Z47" s="6"/>
      <c r="AA47" s="6"/>
      <c r="AB47" s="6"/>
      <c r="AC47" s="6"/>
    </row>
    <row r="48" spans="1:29" x14ac:dyDescent="0.25">
      <c r="Q48" s="12" t="str">
        <f t="shared" ca="1" si="0"/>
        <v>-</v>
      </c>
      <c r="W48" t="str">
        <f t="shared" si="1"/>
        <v>-</v>
      </c>
    </row>
    <row r="49" spans="1:29" x14ac:dyDescent="0.25">
      <c r="A49" s="6"/>
      <c r="B49" s="10"/>
      <c r="C49" s="6"/>
      <c r="D49" s="6"/>
      <c r="E49" s="6"/>
      <c r="F49" s="6"/>
      <c r="G49" s="6"/>
      <c r="H49" s="6"/>
      <c r="I49" s="6"/>
      <c r="J49" s="6"/>
      <c r="K49" s="6"/>
      <c r="L49" s="6"/>
      <c r="M49" s="6"/>
      <c r="N49" s="6"/>
      <c r="O49" s="6"/>
      <c r="P49" s="10"/>
      <c r="Q49" s="15" t="str">
        <f t="shared" ca="1" si="0"/>
        <v>-</v>
      </c>
      <c r="R49" s="6"/>
      <c r="S49" s="6"/>
      <c r="T49" s="6"/>
      <c r="U49" s="6"/>
      <c r="V49" s="6"/>
      <c r="W49" s="6" t="str">
        <f t="shared" si="1"/>
        <v>-</v>
      </c>
      <c r="X49" s="6"/>
      <c r="Y49" s="6"/>
      <c r="Z49" s="6"/>
      <c r="AA49" s="6"/>
      <c r="AB49" s="6"/>
      <c r="AC49" s="6"/>
    </row>
    <row r="50" spans="1:29" x14ac:dyDescent="0.25">
      <c r="Q50" s="12" t="str">
        <f t="shared" ca="1" si="0"/>
        <v>-</v>
      </c>
      <c r="W50" t="str">
        <f t="shared" si="1"/>
        <v>-</v>
      </c>
    </row>
    <row r="51" spans="1:29" x14ac:dyDescent="0.25">
      <c r="A51" s="6"/>
      <c r="B51" s="10"/>
      <c r="C51" s="6"/>
      <c r="D51" s="6"/>
      <c r="E51" s="6"/>
      <c r="F51" s="6"/>
      <c r="G51" s="6"/>
      <c r="H51" s="6"/>
      <c r="I51" s="6"/>
      <c r="J51" s="6"/>
      <c r="K51" s="6"/>
      <c r="L51" s="6"/>
      <c r="M51" s="6"/>
      <c r="N51" s="6"/>
      <c r="O51" s="6"/>
      <c r="P51" s="10"/>
      <c r="Q51" s="15" t="str">
        <f t="shared" ca="1" si="0"/>
        <v>-</v>
      </c>
      <c r="R51" s="6"/>
      <c r="S51" s="6"/>
      <c r="T51" s="6"/>
      <c r="U51" s="6"/>
      <c r="V51" s="6"/>
      <c r="W51" s="6" t="str">
        <f t="shared" si="1"/>
        <v>-</v>
      </c>
      <c r="X51" s="6"/>
      <c r="Y51" s="6"/>
      <c r="Z51" s="6"/>
      <c r="AA51" s="6"/>
      <c r="AB51" s="6"/>
      <c r="AC51" s="6"/>
    </row>
    <row r="52" spans="1:29" x14ac:dyDescent="0.25">
      <c r="Q52" s="12" t="str">
        <f t="shared" ca="1" si="0"/>
        <v>-</v>
      </c>
      <c r="W52" t="str">
        <f t="shared" si="1"/>
        <v>-</v>
      </c>
    </row>
    <row r="53" spans="1:29" x14ac:dyDescent="0.25">
      <c r="A53" s="6"/>
      <c r="B53" s="10"/>
      <c r="C53" s="6"/>
      <c r="D53" s="6"/>
      <c r="E53" s="6"/>
      <c r="F53" s="6"/>
      <c r="G53" s="6"/>
      <c r="H53" s="6"/>
      <c r="I53" s="6"/>
      <c r="J53" s="6"/>
      <c r="K53" s="6"/>
      <c r="L53" s="6"/>
      <c r="M53" s="6"/>
      <c r="N53" s="6"/>
      <c r="O53" s="6"/>
      <c r="P53" s="10"/>
      <c r="Q53" s="15" t="str">
        <f t="shared" ca="1" si="0"/>
        <v>-</v>
      </c>
      <c r="R53" s="6"/>
      <c r="S53" s="6"/>
      <c r="T53" s="6"/>
      <c r="U53" s="6"/>
      <c r="V53" s="6"/>
      <c r="W53" s="6" t="str">
        <f t="shared" si="1"/>
        <v>-</v>
      </c>
      <c r="X53" s="6"/>
      <c r="Y53" s="6"/>
      <c r="Z53" s="6"/>
      <c r="AA53" s="6"/>
      <c r="AB53" s="6"/>
      <c r="AC53" s="6"/>
    </row>
    <row r="54" spans="1:29" x14ac:dyDescent="0.25">
      <c r="Q54" s="12" t="str">
        <f t="shared" ca="1" si="0"/>
        <v>-</v>
      </c>
      <c r="W54" t="str">
        <f t="shared" si="1"/>
        <v>-</v>
      </c>
    </row>
    <row r="55" spans="1:29" x14ac:dyDescent="0.25">
      <c r="A55" s="6"/>
      <c r="B55" s="10"/>
      <c r="C55" s="6"/>
      <c r="D55" s="6"/>
      <c r="E55" s="6"/>
      <c r="F55" s="6"/>
      <c r="G55" s="6"/>
      <c r="H55" s="6"/>
      <c r="I55" s="6"/>
      <c r="J55" s="6"/>
      <c r="K55" s="6"/>
      <c r="L55" s="6"/>
      <c r="M55" s="6"/>
      <c r="N55" s="6"/>
      <c r="O55" s="6"/>
      <c r="P55" s="10"/>
      <c r="Q55" s="15" t="str">
        <f t="shared" ca="1" si="0"/>
        <v>-</v>
      </c>
      <c r="R55" s="6"/>
      <c r="S55" s="6"/>
      <c r="T55" s="6"/>
      <c r="U55" s="6"/>
      <c r="V55" s="6"/>
      <c r="W55" s="6" t="str">
        <f t="shared" si="1"/>
        <v>-</v>
      </c>
      <c r="X55" s="6"/>
      <c r="Y55" s="6"/>
      <c r="Z55" s="6"/>
      <c r="AA55" s="6"/>
      <c r="AB55" s="6"/>
      <c r="AC55" s="6"/>
    </row>
    <row r="56" spans="1:29" x14ac:dyDescent="0.25">
      <c r="Q56" s="12" t="str">
        <f t="shared" ca="1" si="0"/>
        <v>-</v>
      </c>
      <c r="W56" t="str">
        <f t="shared" si="1"/>
        <v>-</v>
      </c>
    </row>
    <row r="57" spans="1:29" x14ac:dyDescent="0.25">
      <c r="A57" s="6"/>
      <c r="B57" s="10"/>
      <c r="C57" s="6"/>
      <c r="D57" s="6"/>
      <c r="E57" s="6"/>
      <c r="F57" s="6"/>
      <c r="G57" s="6"/>
      <c r="H57" s="6"/>
      <c r="I57" s="6"/>
      <c r="J57" s="6"/>
      <c r="K57" s="6"/>
      <c r="L57" s="6"/>
      <c r="M57" s="6"/>
      <c r="N57" s="6"/>
      <c r="O57" s="6"/>
      <c r="P57" s="10"/>
      <c r="Q57" s="15" t="str">
        <f t="shared" ca="1" si="0"/>
        <v>-</v>
      </c>
      <c r="R57" s="6"/>
      <c r="S57" s="6"/>
      <c r="T57" s="6"/>
      <c r="U57" s="6"/>
      <c r="V57" s="6"/>
      <c r="W57" s="6" t="str">
        <f t="shared" si="1"/>
        <v>-</v>
      </c>
      <c r="X57" s="6"/>
      <c r="Y57" s="6"/>
      <c r="Z57" s="6"/>
      <c r="AA57" s="6"/>
      <c r="AB57" s="6"/>
      <c r="AC57" s="6"/>
    </row>
    <row r="58" spans="1:29" x14ac:dyDescent="0.25">
      <c r="Q58" s="12" t="str">
        <f t="shared" ca="1" si="0"/>
        <v>-</v>
      </c>
      <c r="W58" t="str">
        <f t="shared" si="1"/>
        <v>-</v>
      </c>
    </row>
    <row r="59" spans="1:29" x14ac:dyDescent="0.25">
      <c r="A59" s="6"/>
      <c r="B59" s="10"/>
      <c r="C59" s="6"/>
      <c r="D59" s="6"/>
      <c r="E59" s="6"/>
      <c r="F59" s="6"/>
      <c r="G59" s="6"/>
      <c r="H59" s="6"/>
      <c r="I59" s="6"/>
      <c r="J59" s="6"/>
      <c r="K59" s="6"/>
      <c r="L59" s="6"/>
      <c r="M59" s="6"/>
      <c r="N59" s="6"/>
      <c r="O59" s="6"/>
      <c r="P59" s="10"/>
      <c r="Q59" s="15" t="str">
        <f t="shared" ca="1" si="0"/>
        <v>-</v>
      </c>
      <c r="R59" s="6"/>
      <c r="S59" s="6"/>
      <c r="T59" s="6"/>
      <c r="U59" s="6"/>
      <c r="V59" s="6"/>
      <c r="W59" s="6" t="str">
        <f t="shared" si="1"/>
        <v>-</v>
      </c>
      <c r="X59" s="6"/>
      <c r="Y59" s="6"/>
      <c r="Z59" s="6"/>
      <c r="AA59" s="6"/>
      <c r="AB59" s="6"/>
      <c r="AC59" s="6"/>
    </row>
    <row r="60" spans="1:29" x14ac:dyDescent="0.25">
      <c r="Q60" s="12" t="str">
        <f t="shared" ca="1" si="0"/>
        <v>-</v>
      </c>
      <c r="W60" t="str">
        <f t="shared" si="1"/>
        <v>-</v>
      </c>
    </row>
    <row r="61" spans="1:29" x14ac:dyDescent="0.25">
      <c r="A61" s="6"/>
      <c r="B61" s="10"/>
      <c r="C61" s="6"/>
      <c r="D61" s="6"/>
      <c r="E61" s="6"/>
      <c r="F61" s="6"/>
      <c r="G61" s="6"/>
      <c r="H61" s="6"/>
      <c r="I61" s="6"/>
      <c r="J61" s="6"/>
      <c r="K61" s="6"/>
      <c r="L61" s="6"/>
      <c r="M61" s="6"/>
      <c r="N61" s="6"/>
      <c r="O61" s="6"/>
      <c r="P61" s="10"/>
      <c r="Q61" s="15" t="str">
        <f t="shared" ca="1" si="0"/>
        <v>-</v>
      </c>
      <c r="R61" s="6"/>
      <c r="S61" s="6"/>
      <c r="T61" s="6"/>
      <c r="U61" s="6"/>
      <c r="V61" s="6"/>
      <c r="W61" s="6" t="str">
        <f t="shared" si="1"/>
        <v>-</v>
      </c>
      <c r="X61" s="6"/>
      <c r="Y61" s="6"/>
      <c r="Z61" s="6"/>
      <c r="AA61" s="6"/>
      <c r="AB61" s="6"/>
      <c r="AC61" s="6"/>
    </row>
    <row r="62" spans="1:29" x14ac:dyDescent="0.25">
      <c r="Q62" s="12" t="str">
        <f t="shared" ca="1" si="0"/>
        <v>-</v>
      </c>
      <c r="W62" t="str">
        <f t="shared" si="1"/>
        <v>-</v>
      </c>
    </row>
    <row r="63" spans="1:29" x14ac:dyDescent="0.25">
      <c r="A63" s="6"/>
      <c r="B63" s="10"/>
      <c r="C63" s="6"/>
      <c r="D63" s="6"/>
      <c r="E63" s="6"/>
      <c r="F63" s="6"/>
      <c r="G63" s="6"/>
      <c r="H63" s="6"/>
      <c r="I63" s="6"/>
      <c r="J63" s="6"/>
      <c r="K63" s="6"/>
      <c r="L63" s="6"/>
      <c r="M63" s="6"/>
      <c r="N63" s="6"/>
      <c r="O63" s="6"/>
      <c r="P63" s="10"/>
      <c r="Q63" s="15" t="str">
        <f t="shared" ca="1" si="0"/>
        <v>-</v>
      </c>
      <c r="R63" s="6"/>
      <c r="S63" s="6"/>
      <c r="T63" s="6"/>
      <c r="U63" s="6"/>
      <c r="V63" s="6"/>
      <c r="W63" s="6" t="str">
        <f t="shared" si="1"/>
        <v>-</v>
      </c>
      <c r="X63" s="6"/>
      <c r="Y63" s="6"/>
      <c r="Z63" s="6"/>
      <c r="AA63" s="6"/>
      <c r="AB63" s="6"/>
      <c r="AC63" s="6"/>
    </row>
    <row r="64" spans="1:29" x14ac:dyDescent="0.25">
      <c r="Q64" s="12" t="str">
        <f t="shared" ca="1" si="0"/>
        <v>-</v>
      </c>
      <c r="W64" t="str">
        <f t="shared" si="1"/>
        <v>-</v>
      </c>
    </row>
    <row r="65" spans="1:29" x14ac:dyDescent="0.25">
      <c r="A65" s="6"/>
      <c r="B65" s="10"/>
      <c r="C65" s="6"/>
      <c r="D65" s="6"/>
      <c r="E65" s="6"/>
      <c r="F65" s="6"/>
      <c r="G65" s="6"/>
      <c r="H65" s="6"/>
      <c r="I65" s="6"/>
      <c r="J65" s="6"/>
      <c r="K65" s="6"/>
      <c r="L65" s="6"/>
      <c r="M65" s="6"/>
      <c r="N65" s="6"/>
      <c r="O65" s="6"/>
      <c r="P65" s="10"/>
      <c r="Q65" s="15" t="str">
        <f t="shared" ca="1" si="0"/>
        <v>-</v>
      </c>
      <c r="R65" s="6"/>
      <c r="S65" s="6"/>
      <c r="T65" s="6"/>
      <c r="U65" s="6"/>
      <c r="V65" s="6"/>
      <c r="W65" s="6" t="str">
        <f t="shared" si="1"/>
        <v>-</v>
      </c>
      <c r="X65" s="6"/>
      <c r="Y65" s="6"/>
      <c r="Z65" s="6"/>
      <c r="AA65" s="6"/>
      <c r="AB65" s="6"/>
      <c r="AC65" s="6"/>
    </row>
    <row r="66" spans="1:29" x14ac:dyDescent="0.25">
      <c r="Q66" s="12" t="str">
        <f t="shared" ca="1" si="0"/>
        <v>-</v>
      </c>
      <c r="W66" t="str">
        <f t="shared" si="1"/>
        <v>-</v>
      </c>
    </row>
    <row r="67" spans="1:29" x14ac:dyDescent="0.25">
      <c r="A67" s="6"/>
      <c r="B67" s="10"/>
      <c r="C67" s="6"/>
      <c r="D67" s="6"/>
      <c r="E67" s="6"/>
      <c r="F67" s="6"/>
      <c r="G67" s="6"/>
      <c r="H67" s="6"/>
      <c r="I67" s="6"/>
      <c r="J67" s="6"/>
      <c r="K67" s="6"/>
      <c r="L67" s="6"/>
      <c r="M67" s="6"/>
      <c r="N67" s="6"/>
      <c r="O67" s="6"/>
      <c r="P67" s="10"/>
      <c r="Q67" s="15" t="str">
        <f t="shared" ca="1" si="0"/>
        <v>-</v>
      </c>
      <c r="R67" s="6"/>
      <c r="S67" s="6"/>
      <c r="T67" s="6"/>
      <c r="U67" s="6"/>
      <c r="V67" s="6"/>
      <c r="W67" s="6" t="str">
        <f t="shared" si="1"/>
        <v>-</v>
      </c>
      <c r="X67" s="6"/>
      <c r="Y67" s="6"/>
      <c r="Z67" s="6"/>
      <c r="AA67" s="6"/>
      <c r="AB67" s="6"/>
      <c r="AC67" s="6"/>
    </row>
    <row r="68" spans="1:29" x14ac:dyDescent="0.25">
      <c r="Q68" s="12" t="str">
        <f t="shared" ca="1" si="0"/>
        <v>-</v>
      </c>
      <c r="W68" t="str">
        <f t="shared" si="1"/>
        <v>-</v>
      </c>
    </row>
    <row r="69" spans="1:29" x14ac:dyDescent="0.25">
      <c r="A69" s="6"/>
      <c r="B69" s="10"/>
      <c r="C69" s="6"/>
      <c r="D69" s="6"/>
      <c r="E69" s="6"/>
      <c r="F69" s="6"/>
      <c r="G69" s="6"/>
      <c r="H69" s="6"/>
      <c r="I69" s="6"/>
      <c r="J69" s="6"/>
      <c r="K69" s="6"/>
      <c r="L69" s="6"/>
      <c r="M69" s="6"/>
      <c r="N69" s="6"/>
      <c r="O69" s="6"/>
      <c r="P69" s="10"/>
      <c r="Q69" s="15" t="str">
        <f t="shared" ref="Q69:Q132" ca="1" si="2">IF(B69&gt;1/1/1900, (IF(R69="Closed",(DATEDIF(B69,P69,"d"))-(DATEDIF(M69,O69,"d")),IF(OR(R69="Pending",ISBLANK(P69)),TODAY()-B69))),"-")</f>
        <v>-</v>
      </c>
      <c r="R69" s="6"/>
      <c r="S69" s="6"/>
      <c r="T69" s="6"/>
      <c r="U69" s="6"/>
      <c r="V69" s="6"/>
      <c r="W69" s="6" t="str">
        <f t="shared" si="1"/>
        <v>-</v>
      </c>
      <c r="X69" s="6"/>
      <c r="Y69" s="6"/>
      <c r="Z69" s="6"/>
      <c r="AA69" s="6"/>
      <c r="AB69" s="6"/>
      <c r="AC69" s="6"/>
    </row>
    <row r="70" spans="1:29" x14ac:dyDescent="0.25">
      <c r="Q70" s="12" t="str">
        <f t="shared" ca="1" si="2"/>
        <v>-</v>
      </c>
      <c r="W70" t="str">
        <f t="shared" ref="W70:W84" si="3">IF(OR(ISBLANK(J70),ISBLANK(V70)), "-", (IF(J70=V70, "Yes", "No")))</f>
        <v>-</v>
      </c>
    </row>
    <row r="71" spans="1:29" x14ac:dyDescent="0.25">
      <c r="A71" s="6"/>
      <c r="B71" s="10"/>
      <c r="C71" s="6"/>
      <c r="D71" s="6"/>
      <c r="E71" s="6"/>
      <c r="F71" s="6"/>
      <c r="G71" s="6"/>
      <c r="H71" s="6"/>
      <c r="I71" s="6"/>
      <c r="J71" s="6"/>
      <c r="K71" s="6"/>
      <c r="L71" s="6"/>
      <c r="M71" s="6"/>
      <c r="N71" s="6"/>
      <c r="O71" s="6"/>
      <c r="P71" s="10"/>
      <c r="Q71" s="15" t="str">
        <f t="shared" ca="1" si="2"/>
        <v>-</v>
      </c>
      <c r="R71" s="6"/>
      <c r="S71" s="6"/>
      <c r="T71" s="6"/>
      <c r="U71" s="6"/>
      <c r="V71" s="6"/>
      <c r="W71" s="6" t="str">
        <f t="shared" si="3"/>
        <v>-</v>
      </c>
      <c r="X71" s="6"/>
      <c r="Y71" s="6"/>
      <c r="Z71" s="6"/>
      <c r="AA71" s="6"/>
      <c r="AB71" s="6"/>
      <c r="AC71" s="6"/>
    </row>
    <row r="72" spans="1:29" x14ac:dyDescent="0.25">
      <c r="Q72" s="12" t="str">
        <f t="shared" ca="1" si="2"/>
        <v>-</v>
      </c>
      <c r="W72" t="str">
        <f t="shared" si="3"/>
        <v>-</v>
      </c>
    </row>
    <row r="73" spans="1:29" x14ac:dyDescent="0.25">
      <c r="A73" s="6"/>
      <c r="B73" s="10"/>
      <c r="C73" s="6"/>
      <c r="D73" s="6"/>
      <c r="E73" s="6"/>
      <c r="F73" s="6"/>
      <c r="G73" s="6"/>
      <c r="H73" s="6"/>
      <c r="I73" s="6"/>
      <c r="J73" s="6"/>
      <c r="K73" s="6"/>
      <c r="L73" s="6"/>
      <c r="M73" s="6"/>
      <c r="N73" s="6"/>
      <c r="O73" s="6"/>
      <c r="P73" s="10"/>
      <c r="Q73" s="15" t="str">
        <f t="shared" ca="1" si="2"/>
        <v>-</v>
      </c>
      <c r="R73" s="6"/>
      <c r="S73" s="6"/>
      <c r="T73" s="6"/>
      <c r="U73" s="6"/>
      <c r="V73" s="6"/>
      <c r="W73" s="6" t="str">
        <f t="shared" si="3"/>
        <v>-</v>
      </c>
      <c r="X73" s="6"/>
      <c r="Y73" s="6"/>
      <c r="Z73" s="6"/>
      <c r="AA73" s="6"/>
      <c r="AB73" s="6"/>
      <c r="AC73" s="6"/>
    </row>
    <row r="74" spans="1:29" x14ac:dyDescent="0.25">
      <c r="Q74" s="12" t="str">
        <f t="shared" ca="1" si="2"/>
        <v>-</v>
      </c>
      <c r="W74" t="str">
        <f t="shared" si="3"/>
        <v>-</v>
      </c>
    </row>
    <row r="75" spans="1:29" x14ac:dyDescent="0.25">
      <c r="A75" s="6"/>
      <c r="B75" s="10"/>
      <c r="C75" s="6"/>
      <c r="D75" s="6"/>
      <c r="E75" s="6"/>
      <c r="F75" s="6"/>
      <c r="G75" s="6"/>
      <c r="H75" s="6"/>
      <c r="I75" s="6"/>
      <c r="J75" s="6"/>
      <c r="K75" s="6"/>
      <c r="L75" s="6"/>
      <c r="M75" s="6"/>
      <c r="N75" s="6"/>
      <c r="O75" s="6"/>
      <c r="P75" s="10"/>
      <c r="Q75" s="15" t="str">
        <f t="shared" ca="1" si="2"/>
        <v>-</v>
      </c>
      <c r="R75" s="6"/>
      <c r="S75" s="6"/>
      <c r="T75" s="6"/>
      <c r="U75" s="6"/>
      <c r="V75" s="6"/>
      <c r="W75" s="6" t="str">
        <f t="shared" si="3"/>
        <v>-</v>
      </c>
      <c r="X75" s="6"/>
      <c r="Y75" s="6"/>
      <c r="Z75" s="6"/>
      <c r="AA75" s="6"/>
      <c r="AB75" s="6"/>
      <c r="AC75" s="6"/>
    </row>
    <row r="76" spans="1:29" x14ac:dyDescent="0.25">
      <c r="Q76" s="12" t="str">
        <f t="shared" ca="1" si="2"/>
        <v>-</v>
      </c>
      <c r="W76" t="str">
        <f t="shared" si="3"/>
        <v>-</v>
      </c>
    </row>
    <row r="77" spans="1:29" x14ac:dyDescent="0.25">
      <c r="A77" s="6"/>
      <c r="B77" s="10"/>
      <c r="C77" s="6"/>
      <c r="D77" s="6"/>
      <c r="E77" s="6"/>
      <c r="F77" s="6"/>
      <c r="G77" s="6"/>
      <c r="H77" s="6"/>
      <c r="I77" s="6"/>
      <c r="J77" s="6"/>
      <c r="K77" s="6"/>
      <c r="L77" s="6"/>
      <c r="M77" s="6"/>
      <c r="N77" s="6"/>
      <c r="O77" s="6"/>
      <c r="P77" s="10"/>
      <c r="Q77" s="15" t="str">
        <f t="shared" ca="1" si="2"/>
        <v>-</v>
      </c>
      <c r="R77" s="6"/>
      <c r="S77" s="6"/>
      <c r="T77" s="6"/>
      <c r="U77" s="6"/>
      <c r="V77" s="6"/>
      <c r="W77" s="6" t="str">
        <f t="shared" si="3"/>
        <v>-</v>
      </c>
      <c r="X77" s="6"/>
      <c r="Y77" s="6"/>
      <c r="Z77" s="6"/>
      <c r="AA77" s="6"/>
      <c r="AB77" s="6"/>
      <c r="AC77" s="6"/>
    </row>
    <row r="78" spans="1:29" x14ac:dyDescent="0.25">
      <c r="Q78" s="12" t="str">
        <f t="shared" ca="1" si="2"/>
        <v>-</v>
      </c>
      <c r="W78" t="str">
        <f t="shared" si="3"/>
        <v>-</v>
      </c>
    </row>
    <row r="79" spans="1:29" x14ac:dyDescent="0.25">
      <c r="A79" s="6"/>
      <c r="B79" s="10"/>
      <c r="C79" s="6"/>
      <c r="D79" s="6"/>
      <c r="E79" s="6"/>
      <c r="F79" s="6"/>
      <c r="G79" s="6"/>
      <c r="H79" s="6"/>
      <c r="I79" s="6"/>
      <c r="J79" s="6"/>
      <c r="K79" s="6"/>
      <c r="L79" s="6"/>
      <c r="M79" s="6"/>
      <c r="N79" s="6"/>
      <c r="O79" s="6"/>
      <c r="P79" s="10"/>
      <c r="Q79" s="15" t="str">
        <f t="shared" ca="1" si="2"/>
        <v>-</v>
      </c>
      <c r="R79" s="6"/>
      <c r="S79" s="6"/>
      <c r="T79" s="6"/>
      <c r="U79" s="6"/>
      <c r="V79" s="6"/>
      <c r="W79" s="6" t="str">
        <f t="shared" si="3"/>
        <v>-</v>
      </c>
      <c r="X79" s="6"/>
      <c r="Y79" s="6"/>
      <c r="Z79" s="6"/>
      <c r="AA79" s="6"/>
      <c r="AB79" s="6"/>
      <c r="AC79" s="6"/>
    </row>
    <row r="80" spans="1:29" x14ac:dyDescent="0.25">
      <c r="Q80" s="12" t="str">
        <f t="shared" ca="1" si="2"/>
        <v>-</v>
      </c>
      <c r="W80" t="str">
        <f t="shared" si="3"/>
        <v>-</v>
      </c>
    </row>
    <row r="81" spans="1:29" x14ac:dyDescent="0.25">
      <c r="A81" s="6"/>
      <c r="B81" s="10"/>
      <c r="C81" s="6"/>
      <c r="D81" s="6"/>
      <c r="E81" s="6"/>
      <c r="F81" s="6"/>
      <c r="G81" s="6"/>
      <c r="H81" s="6"/>
      <c r="I81" s="6"/>
      <c r="J81" s="6"/>
      <c r="K81" s="6"/>
      <c r="L81" s="6"/>
      <c r="M81" s="6"/>
      <c r="N81" s="6"/>
      <c r="O81" s="6"/>
      <c r="P81" s="10"/>
      <c r="Q81" s="15" t="str">
        <f t="shared" ca="1" si="2"/>
        <v>-</v>
      </c>
      <c r="R81" s="6"/>
      <c r="S81" s="6"/>
      <c r="T81" s="6"/>
      <c r="U81" s="6"/>
      <c r="V81" s="6"/>
      <c r="W81" s="6" t="str">
        <f t="shared" si="3"/>
        <v>-</v>
      </c>
      <c r="X81" s="6"/>
      <c r="Y81" s="6"/>
      <c r="Z81" s="6"/>
      <c r="AA81" s="6"/>
      <c r="AB81" s="6"/>
      <c r="AC81" s="6"/>
    </row>
    <row r="82" spans="1:29" x14ac:dyDescent="0.25">
      <c r="Q82" s="12" t="str">
        <f t="shared" ca="1" si="2"/>
        <v>-</v>
      </c>
      <c r="W82" t="str">
        <f t="shared" si="3"/>
        <v>-</v>
      </c>
    </row>
    <row r="83" spans="1:29" x14ac:dyDescent="0.25">
      <c r="A83" s="6"/>
      <c r="B83" s="10"/>
      <c r="C83" s="6"/>
      <c r="D83" s="6"/>
      <c r="E83" s="6"/>
      <c r="F83" s="6"/>
      <c r="G83" s="6"/>
      <c r="H83" s="6"/>
      <c r="I83" s="6"/>
      <c r="J83" s="6"/>
      <c r="K83" s="6"/>
      <c r="L83" s="6"/>
      <c r="M83" s="6"/>
      <c r="N83" s="6"/>
      <c r="O83" s="6"/>
      <c r="P83" s="10"/>
      <c r="Q83" s="15" t="str">
        <f t="shared" ca="1" si="2"/>
        <v>-</v>
      </c>
      <c r="R83" s="6"/>
      <c r="S83" s="6"/>
      <c r="T83" s="6"/>
      <c r="U83" s="6"/>
      <c r="V83" s="6"/>
      <c r="W83" s="6" t="str">
        <f t="shared" si="3"/>
        <v>-</v>
      </c>
      <c r="X83" s="6"/>
      <c r="Y83" s="6"/>
      <c r="Z83" s="6"/>
      <c r="AA83" s="6"/>
      <c r="AB83" s="6"/>
      <c r="AC83" s="6"/>
    </row>
    <row r="84" spans="1:29" x14ac:dyDescent="0.25">
      <c r="Q84" s="12" t="str">
        <f t="shared" ca="1" si="2"/>
        <v>-</v>
      </c>
      <c r="W84" t="str">
        <f t="shared" si="3"/>
        <v>-</v>
      </c>
    </row>
    <row r="85" spans="1:29" x14ac:dyDescent="0.25">
      <c r="A85" s="6"/>
      <c r="B85" s="10"/>
      <c r="C85" s="6"/>
      <c r="D85" s="6"/>
      <c r="E85" s="6"/>
      <c r="F85" s="6"/>
      <c r="G85" s="6"/>
      <c r="H85" s="6"/>
      <c r="I85" s="6"/>
      <c r="J85" s="6"/>
      <c r="K85" s="6"/>
      <c r="L85" s="6"/>
      <c r="M85" s="6"/>
      <c r="N85" s="6"/>
      <c r="O85" s="6"/>
      <c r="P85" s="10"/>
      <c r="Q85" s="15" t="str">
        <f t="shared" ca="1" si="2"/>
        <v>-</v>
      </c>
      <c r="R85" s="6"/>
      <c r="S85" s="6"/>
      <c r="T85" s="6"/>
      <c r="U85" s="6"/>
      <c r="V85" s="6"/>
      <c r="W85" s="6" t="str">
        <f t="shared" ref="W85:W132" si="4">IF(OR(ISBLANK(J85),ISBLANK(V85)),"-",(IF(J85=V85,"Yes","No")))</f>
        <v>-</v>
      </c>
      <c r="X85" s="6"/>
      <c r="Y85" s="6"/>
      <c r="Z85" s="6"/>
      <c r="AA85" s="6"/>
      <c r="AB85" s="6"/>
      <c r="AC85" s="6"/>
    </row>
    <row r="86" spans="1:29" x14ac:dyDescent="0.25">
      <c r="Q86" s="12" t="str">
        <f t="shared" ca="1" si="2"/>
        <v>-</v>
      </c>
      <c r="W86" t="str">
        <f t="shared" si="4"/>
        <v>-</v>
      </c>
    </row>
    <row r="87" spans="1:29" x14ac:dyDescent="0.25">
      <c r="A87" s="6"/>
      <c r="B87" s="10"/>
      <c r="C87" s="6"/>
      <c r="D87" s="6"/>
      <c r="E87" s="6"/>
      <c r="F87" s="6"/>
      <c r="G87" s="6"/>
      <c r="H87" s="6"/>
      <c r="I87" s="6"/>
      <c r="J87" s="6"/>
      <c r="K87" s="6"/>
      <c r="L87" s="6"/>
      <c r="M87" s="6"/>
      <c r="N87" s="6"/>
      <c r="O87" s="6"/>
      <c r="P87" s="10"/>
      <c r="Q87" s="15" t="str">
        <f t="shared" ca="1" si="2"/>
        <v>-</v>
      </c>
      <c r="R87" s="6"/>
      <c r="S87" s="6"/>
      <c r="T87" s="6"/>
      <c r="U87" s="6"/>
      <c r="V87" s="6"/>
      <c r="W87" s="6" t="str">
        <f t="shared" si="4"/>
        <v>-</v>
      </c>
      <c r="X87" s="6"/>
      <c r="Y87" s="6"/>
      <c r="Z87" s="6"/>
      <c r="AA87" s="6"/>
      <c r="AB87" s="6"/>
      <c r="AC87" s="6"/>
    </row>
    <row r="88" spans="1:29" x14ac:dyDescent="0.25">
      <c r="Q88" s="12" t="str">
        <f t="shared" ca="1" si="2"/>
        <v>-</v>
      </c>
      <c r="W88" t="str">
        <f t="shared" si="4"/>
        <v>-</v>
      </c>
    </row>
    <row r="89" spans="1:29" x14ac:dyDescent="0.25">
      <c r="A89" s="6"/>
      <c r="B89" s="10"/>
      <c r="C89" s="6"/>
      <c r="D89" s="6"/>
      <c r="E89" s="6"/>
      <c r="F89" s="6"/>
      <c r="G89" s="6"/>
      <c r="H89" s="6"/>
      <c r="I89" s="6"/>
      <c r="J89" s="6"/>
      <c r="K89" s="6"/>
      <c r="L89" s="6"/>
      <c r="M89" s="6"/>
      <c r="N89" s="6"/>
      <c r="O89" s="6"/>
      <c r="P89" s="10"/>
      <c r="Q89" s="15" t="str">
        <f t="shared" ca="1" si="2"/>
        <v>-</v>
      </c>
      <c r="R89" s="6"/>
      <c r="S89" s="6"/>
      <c r="T89" s="6"/>
      <c r="U89" s="6"/>
      <c r="V89" s="6"/>
      <c r="W89" s="6" t="str">
        <f t="shared" si="4"/>
        <v>-</v>
      </c>
      <c r="X89" s="6"/>
      <c r="Y89" s="6"/>
      <c r="Z89" s="6"/>
      <c r="AA89" s="6"/>
      <c r="AB89" s="6"/>
      <c r="AC89" s="6"/>
    </row>
    <row r="90" spans="1:29" x14ac:dyDescent="0.25">
      <c r="Q90" s="12" t="str">
        <f t="shared" ca="1" si="2"/>
        <v>-</v>
      </c>
      <c r="W90" t="str">
        <f t="shared" si="4"/>
        <v>-</v>
      </c>
    </row>
    <row r="91" spans="1:29" x14ac:dyDescent="0.25">
      <c r="A91" s="6"/>
      <c r="B91" s="10"/>
      <c r="C91" s="6"/>
      <c r="D91" s="6"/>
      <c r="E91" s="6"/>
      <c r="F91" s="6"/>
      <c r="G91" s="6"/>
      <c r="H91" s="6"/>
      <c r="I91" s="6"/>
      <c r="J91" s="6"/>
      <c r="K91" s="6"/>
      <c r="L91" s="6"/>
      <c r="M91" s="6"/>
      <c r="N91" s="6"/>
      <c r="O91" s="6"/>
      <c r="P91" s="10"/>
      <c r="Q91" s="15" t="str">
        <f t="shared" ca="1" si="2"/>
        <v>-</v>
      </c>
      <c r="R91" s="6"/>
      <c r="S91" s="6"/>
      <c r="T91" s="6"/>
      <c r="U91" s="6"/>
      <c r="V91" s="6"/>
      <c r="W91" s="6" t="str">
        <f t="shared" si="4"/>
        <v>-</v>
      </c>
      <c r="X91" s="6"/>
      <c r="Y91" s="6"/>
      <c r="Z91" s="6"/>
      <c r="AA91" s="6"/>
      <c r="AB91" s="6"/>
      <c r="AC91" s="6"/>
    </row>
    <row r="92" spans="1:29" x14ac:dyDescent="0.25">
      <c r="Q92" s="12" t="str">
        <f t="shared" ca="1" si="2"/>
        <v>-</v>
      </c>
      <c r="W92" t="str">
        <f t="shared" si="4"/>
        <v>-</v>
      </c>
    </row>
    <row r="93" spans="1:29" x14ac:dyDescent="0.25">
      <c r="A93" s="6"/>
      <c r="B93" s="10"/>
      <c r="C93" s="6"/>
      <c r="D93" s="6"/>
      <c r="E93" s="6"/>
      <c r="F93" s="6"/>
      <c r="G93" s="6"/>
      <c r="H93" s="6"/>
      <c r="I93" s="6"/>
      <c r="J93" s="6"/>
      <c r="K93" s="6"/>
      <c r="L93" s="6"/>
      <c r="M93" s="6"/>
      <c r="N93" s="6"/>
      <c r="O93" s="6"/>
      <c r="P93" s="10"/>
      <c r="Q93" s="15" t="str">
        <f t="shared" ca="1" si="2"/>
        <v>-</v>
      </c>
      <c r="R93" s="6"/>
      <c r="S93" s="6"/>
      <c r="T93" s="6"/>
      <c r="U93" s="6"/>
      <c r="V93" s="6"/>
      <c r="W93" s="6" t="str">
        <f t="shared" si="4"/>
        <v>-</v>
      </c>
      <c r="X93" s="6"/>
      <c r="Y93" s="6"/>
      <c r="Z93" s="6"/>
      <c r="AA93" s="6"/>
      <c r="AB93" s="6"/>
      <c r="AC93" s="6"/>
    </row>
    <row r="94" spans="1:29" x14ac:dyDescent="0.25">
      <c r="Q94" s="12" t="str">
        <f t="shared" ca="1" si="2"/>
        <v>-</v>
      </c>
      <c r="W94" t="str">
        <f t="shared" si="4"/>
        <v>-</v>
      </c>
    </row>
    <row r="95" spans="1:29" x14ac:dyDescent="0.25">
      <c r="A95" s="6"/>
      <c r="B95" s="10"/>
      <c r="C95" s="6"/>
      <c r="D95" s="6"/>
      <c r="E95" s="6"/>
      <c r="F95" s="6"/>
      <c r="G95" s="6"/>
      <c r="H95" s="6"/>
      <c r="I95" s="6"/>
      <c r="J95" s="6"/>
      <c r="K95" s="6"/>
      <c r="L95" s="6"/>
      <c r="M95" s="6"/>
      <c r="N95" s="6"/>
      <c r="O95" s="6"/>
      <c r="P95" s="10"/>
      <c r="Q95" s="15" t="str">
        <f t="shared" ca="1" si="2"/>
        <v>-</v>
      </c>
      <c r="R95" s="6"/>
      <c r="S95" s="6"/>
      <c r="T95" s="6"/>
      <c r="U95" s="6"/>
      <c r="V95" s="6"/>
      <c r="W95" s="6" t="str">
        <f t="shared" si="4"/>
        <v>-</v>
      </c>
      <c r="X95" s="6"/>
      <c r="Y95" s="6"/>
      <c r="Z95" s="6"/>
      <c r="AA95" s="6"/>
      <c r="AB95" s="6"/>
      <c r="AC95" s="6"/>
    </row>
    <row r="96" spans="1:29" x14ac:dyDescent="0.25">
      <c r="Q96" s="12" t="str">
        <f t="shared" ca="1" si="2"/>
        <v>-</v>
      </c>
      <c r="W96" t="str">
        <f t="shared" si="4"/>
        <v>-</v>
      </c>
    </row>
    <row r="97" spans="1:29" x14ac:dyDescent="0.25">
      <c r="A97" s="6"/>
      <c r="B97" s="10"/>
      <c r="C97" s="6"/>
      <c r="D97" s="6"/>
      <c r="E97" s="6"/>
      <c r="F97" s="6"/>
      <c r="G97" s="6"/>
      <c r="H97" s="6"/>
      <c r="I97" s="6"/>
      <c r="J97" s="6"/>
      <c r="K97" s="6"/>
      <c r="L97" s="6"/>
      <c r="M97" s="6"/>
      <c r="N97" s="6"/>
      <c r="O97" s="6"/>
      <c r="P97" s="10"/>
      <c r="Q97" s="15" t="str">
        <f t="shared" ca="1" si="2"/>
        <v>-</v>
      </c>
      <c r="R97" s="6"/>
      <c r="S97" s="6"/>
      <c r="T97" s="6"/>
      <c r="U97" s="6"/>
      <c r="V97" s="6"/>
      <c r="W97" s="6" t="str">
        <f t="shared" si="4"/>
        <v>-</v>
      </c>
      <c r="X97" s="6"/>
      <c r="Y97" s="6"/>
      <c r="Z97" s="6"/>
      <c r="AA97" s="6"/>
      <c r="AB97" s="6"/>
      <c r="AC97" s="6"/>
    </row>
    <row r="98" spans="1:29" x14ac:dyDescent="0.25">
      <c r="Q98" s="12" t="str">
        <f t="shared" ca="1" si="2"/>
        <v>-</v>
      </c>
      <c r="W98" t="str">
        <f t="shared" si="4"/>
        <v>-</v>
      </c>
    </row>
    <row r="99" spans="1:29" x14ac:dyDescent="0.25">
      <c r="A99" s="6"/>
      <c r="B99" s="10"/>
      <c r="C99" s="6"/>
      <c r="D99" s="6"/>
      <c r="E99" s="6"/>
      <c r="F99" s="6"/>
      <c r="G99" s="6"/>
      <c r="H99" s="6"/>
      <c r="I99" s="6"/>
      <c r="J99" s="6"/>
      <c r="K99" s="6"/>
      <c r="L99" s="6"/>
      <c r="M99" s="6"/>
      <c r="N99" s="6"/>
      <c r="O99" s="6"/>
      <c r="P99" s="10"/>
      <c r="Q99" s="15" t="str">
        <f t="shared" ca="1" si="2"/>
        <v>-</v>
      </c>
      <c r="R99" s="6"/>
      <c r="S99" s="6"/>
      <c r="T99" s="6"/>
      <c r="U99" s="6"/>
      <c r="V99" s="6"/>
      <c r="W99" s="6" t="str">
        <f t="shared" si="4"/>
        <v>-</v>
      </c>
      <c r="X99" s="6"/>
      <c r="Y99" s="6"/>
      <c r="Z99" s="6"/>
      <c r="AA99" s="6"/>
      <c r="AB99" s="6"/>
      <c r="AC99" s="6"/>
    </row>
    <row r="100" spans="1:29" x14ac:dyDescent="0.25">
      <c r="Q100" s="12" t="str">
        <f t="shared" ca="1" si="2"/>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2"/>
        <v>-</v>
      </c>
      <c r="R101" s="6"/>
      <c r="S101" s="6"/>
      <c r="T101" s="6"/>
      <c r="U101" s="6"/>
      <c r="V101" s="6"/>
      <c r="W101" s="6" t="str">
        <f t="shared" si="4"/>
        <v>-</v>
      </c>
      <c r="X101" s="6"/>
      <c r="Y101" s="6"/>
      <c r="Z101" s="6"/>
      <c r="AA101" s="6"/>
      <c r="AB101" s="6"/>
      <c r="AC101" s="6"/>
    </row>
    <row r="102" spans="1:29" x14ac:dyDescent="0.25">
      <c r="Q102" s="12" t="str">
        <f t="shared" ca="1" si="2"/>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2"/>
        <v>-</v>
      </c>
      <c r="R103" s="6"/>
      <c r="S103" s="6"/>
      <c r="T103" s="6"/>
      <c r="U103" s="6"/>
      <c r="V103" s="6"/>
      <c r="W103" s="6" t="str">
        <f t="shared" si="4"/>
        <v>-</v>
      </c>
      <c r="X103" s="6"/>
      <c r="Y103" s="6"/>
      <c r="Z103" s="6"/>
      <c r="AA103" s="6"/>
      <c r="AB103" s="6"/>
      <c r="AC103" s="6"/>
    </row>
    <row r="104" spans="1:29" x14ac:dyDescent="0.25">
      <c r="Q104" s="12" t="str">
        <f t="shared" ca="1" si="2"/>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2"/>
        <v>-</v>
      </c>
      <c r="R105" s="6"/>
      <c r="S105" s="6"/>
      <c r="T105" s="6"/>
      <c r="U105" s="6"/>
      <c r="V105" s="6"/>
      <c r="W105" s="6" t="str">
        <f t="shared" si="4"/>
        <v>-</v>
      </c>
      <c r="X105" s="6"/>
      <c r="Y105" s="6"/>
      <c r="Z105" s="6"/>
      <c r="AA105" s="6"/>
      <c r="AB105" s="6"/>
      <c r="AC105" s="6"/>
    </row>
    <row r="106" spans="1:29" x14ac:dyDescent="0.25">
      <c r="Q106" s="12" t="str">
        <f t="shared" ca="1" si="2"/>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2"/>
        <v>-</v>
      </c>
      <c r="R107" s="6"/>
      <c r="S107" s="6"/>
      <c r="T107" s="6"/>
      <c r="U107" s="6"/>
      <c r="V107" s="6"/>
      <c r="W107" s="6" t="str">
        <f t="shared" si="4"/>
        <v>-</v>
      </c>
      <c r="X107" s="6"/>
      <c r="Y107" s="6"/>
      <c r="Z107" s="6"/>
      <c r="AA107" s="6"/>
      <c r="AB107" s="6"/>
      <c r="AC107" s="6"/>
    </row>
    <row r="108" spans="1:29" x14ac:dyDescent="0.25">
      <c r="Q108" s="12" t="str">
        <f t="shared" ca="1" si="2"/>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2"/>
        <v>-</v>
      </c>
      <c r="R109" s="6"/>
      <c r="S109" s="6"/>
      <c r="T109" s="6"/>
      <c r="U109" s="6"/>
      <c r="V109" s="6"/>
      <c r="W109" s="6" t="str">
        <f t="shared" si="4"/>
        <v>-</v>
      </c>
      <c r="X109" s="6"/>
      <c r="Y109" s="6"/>
      <c r="Z109" s="6"/>
      <c r="AA109" s="6"/>
      <c r="AB109" s="6"/>
      <c r="AC109" s="6"/>
    </row>
    <row r="110" spans="1:29" x14ac:dyDescent="0.25">
      <c r="Q110" s="12" t="str">
        <f t="shared" ca="1" si="2"/>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2"/>
        <v>-</v>
      </c>
      <c r="R111" s="6"/>
      <c r="S111" s="6"/>
      <c r="T111" s="6"/>
      <c r="U111" s="6"/>
      <c r="V111" s="6"/>
      <c r="W111" s="6" t="str">
        <f t="shared" si="4"/>
        <v>-</v>
      </c>
      <c r="X111" s="6"/>
      <c r="Y111" s="6"/>
      <c r="Z111" s="6"/>
      <c r="AA111" s="6"/>
      <c r="AB111" s="6"/>
      <c r="AC111" s="6"/>
    </row>
    <row r="112" spans="1:29" x14ac:dyDescent="0.25">
      <c r="Q112" s="12" t="str">
        <f t="shared" ca="1" si="2"/>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2"/>
        <v>-</v>
      </c>
      <c r="R113" s="6"/>
      <c r="S113" s="6"/>
      <c r="T113" s="6"/>
      <c r="U113" s="6"/>
      <c r="V113" s="6"/>
      <c r="W113" s="6" t="str">
        <f t="shared" si="4"/>
        <v>-</v>
      </c>
      <c r="X113" s="6"/>
      <c r="Y113" s="6"/>
      <c r="Z113" s="6"/>
      <c r="AA113" s="6"/>
      <c r="AB113" s="6"/>
      <c r="AC113" s="6"/>
    </row>
    <row r="114" spans="1:29" x14ac:dyDescent="0.25">
      <c r="Q114" s="12" t="str">
        <f t="shared" ca="1" si="2"/>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2"/>
        <v>-</v>
      </c>
      <c r="R115" s="6"/>
      <c r="S115" s="6"/>
      <c r="T115" s="6"/>
      <c r="U115" s="6"/>
      <c r="V115" s="6"/>
      <c r="W115" s="6" t="str">
        <f t="shared" si="4"/>
        <v>-</v>
      </c>
      <c r="X115" s="6"/>
      <c r="Y115" s="6"/>
      <c r="Z115" s="6"/>
      <c r="AA115" s="6"/>
      <c r="AB115" s="6"/>
      <c r="AC115" s="6"/>
    </row>
    <row r="116" spans="1:29" x14ac:dyDescent="0.25">
      <c r="Q116" s="12" t="str">
        <f t="shared" ca="1" si="2"/>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2"/>
        <v>-</v>
      </c>
      <c r="R117" s="6"/>
      <c r="S117" s="6"/>
      <c r="T117" s="6"/>
      <c r="U117" s="6"/>
      <c r="V117" s="6"/>
      <c r="W117" s="6" t="str">
        <f t="shared" si="4"/>
        <v>-</v>
      </c>
      <c r="X117" s="6"/>
      <c r="Y117" s="6"/>
      <c r="Z117" s="6"/>
      <c r="AA117" s="6"/>
      <c r="AB117" s="6"/>
      <c r="AC117" s="6"/>
    </row>
    <row r="118" spans="1:29" x14ac:dyDescent="0.25">
      <c r="Q118" s="12" t="str">
        <f t="shared" ca="1" si="2"/>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2"/>
        <v>-</v>
      </c>
      <c r="R119" s="6"/>
      <c r="S119" s="6"/>
      <c r="T119" s="6"/>
      <c r="U119" s="6"/>
      <c r="V119" s="6"/>
      <c r="W119" s="6" t="str">
        <f t="shared" si="4"/>
        <v>-</v>
      </c>
      <c r="X119" s="6"/>
      <c r="Y119" s="6"/>
      <c r="Z119" s="6"/>
      <c r="AA119" s="6"/>
      <c r="AB119" s="6"/>
      <c r="AC119" s="6"/>
    </row>
    <row r="120" spans="1:29" x14ac:dyDescent="0.25">
      <c r="Q120" s="12" t="str">
        <f t="shared" ca="1" si="2"/>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2"/>
        <v>-</v>
      </c>
      <c r="R121" s="6"/>
      <c r="S121" s="6"/>
      <c r="T121" s="6"/>
      <c r="U121" s="6"/>
      <c r="V121" s="6"/>
      <c r="W121" s="6" t="str">
        <f t="shared" si="4"/>
        <v>-</v>
      </c>
      <c r="X121" s="6"/>
      <c r="Y121" s="6"/>
      <c r="Z121" s="6"/>
      <c r="AA121" s="6"/>
      <c r="AB121" s="6"/>
      <c r="AC121" s="6"/>
    </row>
    <row r="122" spans="1:29" x14ac:dyDescent="0.25">
      <c r="Q122" s="12" t="str">
        <f t="shared" ca="1" si="2"/>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2"/>
        <v>-</v>
      </c>
      <c r="R123" s="6"/>
      <c r="S123" s="6"/>
      <c r="T123" s="6"/>
      <c r="U123" s="6"/>
      <c r="V123" s="6"/>
      <c r="W123" s="6" t="str">
        <f t="shared" si="4"/>
        <v>-</v>
      </c>
      <c r="X123" s="6"/>
      <c r="Y123" s="6"/>
      <c r="Z123" s="6"/>
      <c r="AA123" s="6"/>
      <c r="AB123" s="6"/>
      <c r="AC123" s="6"/>
    </row>
    <row r="124" spans="1:29" x14ac:dyDescent="0.25">
      <c r="Q124" s="12" t="str">
        <f t="shared" ca="1" si="2"/>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2"/>
        <v>-</v>
      </c>
      <c r="R125" s="6"/>
      <c r="S125" s="6"/>
      <c r="T125" s="6"/>
      <c r="U125" s="6"/>
      <c r="V125" s="6"/>
      <c r="W125" s="6" t="str">
        <f t="shared" si="4"/>
        <v>-</v>
      </c>
      <c r="X125" s="6"/>
      <c r="Y125" s="6"/>
      <c r="Z125" s="6"/>
      <c r="AA125" s="6"/>
      <c r="AB125" s="6"/>
      <c r="AC125" s="6"/>
    </row>
    <row r="126" spans="1:29" x14ac:dyDescent="0.25">
      <c r="Q126" s="12" t="str">
        <f t="shared" ca="1" si="2"/>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2"/>
        <v>-</v>
      </c>
      <c r="R127" s="6"/>
      <c r="S127" s="6"/>
      <c r="T127" s="6"/>
      <c r="U127" s="6"/>
      <c r="V127" s="6"/>
      <c r="W127" s="6" t="str">
        <f t="shared" si="4"/>
        <v>-</v>
      </c>
      <c r="X127" s="6"/>
      <c r="Y127" s="6"/>
      <c r="Z127" s="6"/>
      <c r="AA127" s="6"/>
      <c r="AB127" s="6"/>
      <c r="AC127" s="6"/>
    </row>
    <row r="128" spans="1:29" x14ac:dyDescent="0.25">
      <c r="Q128" s="12" t="str">
        <f t="shared" ca="1" si="2"/>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2"/>
        <v>-</v>
      </c>
      <c r="R129" s="6"/>
      <c r="S129" s="6"/>
      <c r="T129" s="6"/>
      <c r="U129" s="6"/>
      <c r="V129" s="6"/>
      <c r="W129" s="6" t="str">
        <f t="shared" si="4"/>
        <v>-</v>
      </c>
      <c r="X129" s="6"/>
      <c r="Y129" s="6"/>
      <c r="Z129" s="6"/>
      <c r="AA129" s="6"/>
      <c r="AB129" s="6"/>
      <c r="AC129" s="6"/>
    </row>
    <row r="130" spans="1:29" x14ac:dyDescent="0.25">
      <c r="Q130" s="12" t="str">
        <f t="shared" ca="1" si="2"/>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2"/>
        <v>-</v>
      </c>
      <c r="R131" s="6"/>
      <c r="S131" s="6"/>
      <c r="T131" s="6"/>
      <c r="U131" s="6"/>
      <c r="V131" s="6"/>
      <c r="W131" s="6" t="str">
        <f t="shared" si="4"/>
        <v>-</v>
      </c>
      <c r="X131" s="6"/>
      <c r="Y131" s="6"/>
      <c r="Z131" s="6"/>
      <c r="AA131" s="6"/>
      <c r="AB131" s="6"/>
      <c r="AC131" s="6"/>
    </row>
    <row r="132" spans="1:29" x14ac:dyDescent="0.25">
      <c r="Q132" s="12" t="str">
        <f t="shared" ca="1" si="2"/>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ref="Q133:Q196" ca="1" si="5">IF(B133&gt;1/1/1900, (IF(R133="Closed",(DATEDIF(B133,P133,"d"))-(DATEDIF(M133,O133,"d")),IF(OR(R133="Pending",ISBLANK(P133)),TODAY()-B133))),"-")</f>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ca="1" si="5"/>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5"/>
        <v>-</v>
      </c>
      <c r="R135" s="6"/>
      <c r="S135" s="6"/>
      <c r="T135" s="6"/>
      <c r="U135" s="6"/>
      <c r="V135" s="6"/>
      <c r="W135" s="6" t="str">
        <f t="shared" si="6"/>
        <v>-</v>
      </c>
      <c r="X135" s="6"/>
      <c r="Y135" s="6"/>
      <c r="Z135" s="6"/>
      <c r="AA135" s="6"/>
      <c r="AB135" s="6"/>
      <c r="AC135" s="6"/>
    </row>
    <row r="136" spans="1:29" x14ac:dyDescent="0.25">
      <c r="Q136" s="12" t="str">
        <f t="shared" ca="1" si="5"/>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5"/>
        <v>-</v>
      </c>
      <c r="R137" s="6"/>
      <c r="S137" s="6"/>
      <c r="T137" s="6"/>
      <c r="U137" s="6"/>
      <c r="V137" s="6"/>
      <c r="W137" s="6" t="str">
        <f t="shared" si="6"/>
        <v>-</v>
      </c>
      <c r="X137" s="6"/>
      <c r="Y137" s="6"/>
      <c r="Z137" s="6"/>
      <c r="AA137" s="6"/>
      <c r="AB137" s="6"/>
      <c r="AC137" s="6"/>
    </row>
    <row r="138" spans="1:29" x14ac:dyDescent="0.25">
      <c r="Q138" s="12" t="str">
        <f t="shared" ca="1" si="5"/>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5"/>
        <v>-</v>
      </c>
      <c r="R139" s="6"/>
      <c r="S139" s="6"/>
      <c r="T139" s="6"/>
      <c r="U139" s="6"/>
      <c r="V139" s="6"/>
      <c r="W139" s="6" t="str">
        <f t="shared" si="6"/>
        <v>-</v>
      </c>
      <c r="X139" s="6"/>
      <c r="Y139" s="6"/>
      <c r="Z139" s="6"/>
      <c r="AA139" s="6"/>
      <c r="AB139" s="6"/>
      <c r="AC139" s="6"/>
    </row>
    <row r="140" spans="1:29" x14ac:dyDescent="0.25">
      <c r="Q140" s="12" t="str">
        <f t="shared" ca="1" si="5"/>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5"/>
        <v>-</v>
      </c>
      <c r="R141" s="6"/>
      <c r="S141" s="6"/>
      <c r="T141" s="6"/>
      <c r="U141" s="6"/>
      <c r="V141" s="6"/>
      <c r="W141" s="6" t="str">
        <f t="shared" si="6"/>
        <v>-</v>
      </c>
      <c r="X141" s="6"/>
      <c r="Y141" s="6"/>
      <c r="Z141" s="6"/>
      <c r="AA141" s="6"/>
      <c r="AB141" s="6"/>
      <c r="AC141" s="6"/>
    </row>
    <row r="142" spans="1:29" x14ac:dyDescent="0.25">
      <c r="Q142" s="12" t="str">
        <f t="shared" ca="1" si="5"/>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5"/>
        <v>-</v>
      </c>
      <c r="R143" s="6"/>
      <c r="S143" s="6"/>
      <c r="T143" s="6"/>
      <c r="U143" s="6"/>
      <c r="V143" s="6"/>
      <c r="W143" s="6" t="str">
        <f t="shared" si="6"/>
        <v>-</v>
      </c>
      <c r="X143" s="6"/>
      <c r="Y143" s="6"/>
      <c r="Z143" s="6"/>
      <c r="AA143" s="6"/>
      <c r="AB143" s="6"/>
      <c r="AC143" s="6"/>
    </row>
    <row r="144" spans="1:29" x14ac:dyDescent="0.25">
      <c r="Q144" s="12" t="str">
        <f t="shared" ca="1" si="5"/>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5"/>
        <v>-</v>
      </c>
      <c r="R145" s="6"/>
      <c r="S145" s="6"/>
      <c r="T145" s="6"/>
      <c r="U145" s="6"/>
      <c r="V145" s="6"/>
      <c r="W145" s="6" t="str">
        <f t="shared" si="6"/>
        <v>-</v>
      </c>
      <c r="X145" s="6"/>
      <c r="Y145" s="6"/>
      <c r="Z145" s="6"/>
      <c r="AA145" s="6"/>
      <c r="AB145" s="6"/>
      <c r="AC145" s="6"/>
    </row>
    <row r="146" spans="1:29" x14ac:dyDescent="0.25">
      <c r="Q146" s="12" t="str">
        <f t="shared" ca="1" si="5"/>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5"/>
        <v>-</v>
      </c>
      <c r="R147" s="6"/>
      <c r="S147" s="6"/>
      <c r="T147" s="6"/>
      <c r="U147" s="6"/>
      <c r="V147" s="6"/>
      <c r="W147" s="6" t="str">
        <f t="shared" si="6"/>
        <v>-</v>
      </c>
      <c r="X147" s="6"/>
      <c r="Y147" s="6"/>
      <c r="Z147" s="6"/>
      <c r="AA147" s="6"/>
      <c r="AB147" s="6"/>
      <c r="AC147" s="6"/>
    </row>
    <row r="148" spans="1:29" x14ac:dyDescent="0.25">
      <c r="Q148" s="12" t="str">
        <f t="shared" ca="1" si="5"/>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5"/>
        <v>-</v>
      </c>
      <c r="R149" s="6"/>
      <c r="S149" s="6"/>
      <c r="T149" s="6"/>
      <c r="U149" s="6"/>
      <c r="V149" s="6"/>
      <c r="W149" s="6" t="str">
        <f t="shared" si="6"/>
        <v>-</v>
      </c>
      <c r="X149" s="6"/>
      <c r="Y149" s="6"/>
      <c r="Z149" s="6"/>
      <c r="AA149" s="6"/>
      <c r="AB149" s="6"/>
      <c r="AC149" s="6"/>
    </row>
    <row r="150" spans="1:29" x14ac:dyDescent="0.25">
      <c r="Q150" s="12" t="str">
        <f t="shared" ca="1" si="5"/>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5"/>
        <v>-</v>
      </c>
      <c r="R151" s="6"/>
      <c r="S151" s="6"/>
      <c r="T151" s="6"/>
      <c r="U151" s="6"/>
      <c r="V151" s="6"/>
      <c r="W151" s="6" t="str">
        <f t="shared" si="6"/>
        <v>-</v>
      </c>
      <c r="X151" s="6"/>
      <c r="Y151" s="6"/>
      <c r="Z151" s="6"/>
      <c r="AA151" s="6"/>
      <c r="AB151" s="6"/>
      <c r="AC151" s="6"/>
    </row>
    <row r="152" spans="1:29" x14ac:dyDescent="0.25">
      <c r="Q152" s="12" t="str">
        <f t="shared" ca="1" si="5"/>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5"/>
        <v>-</v>
      </c>
      <c r="R153" s="6"/>
      <c r="S153" s="6"/>
      <c r="T153" s="6"/>
      <c r="U153" s="6"/>
      <c r="V153" s="6"/>
      <c r="W153" s="6" t="str">
        <f t="shared" si="6"/>
        <v>-</v>
      </c>
      <c r="X153" s="6"/>
      <c r="Y153" s="6"/>
      <c r="Z153" s="6"/>
      <c r="AA153" s="6"/>
      <c r="AB153" s="6"/>
      <c r="AC153" s="6"/>
    </row>
    <row r="154" spans="1:29" x14ac:dyDescent="0.25">
      <c r="Q154" s="12" t="str">
        <f t="shared" ca="1" si="5"/>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5"/>
        <v>-</v>
      </c>
      <c r="R155" s="6"/>
      <c r="S155" s="6"/>
      <c r="T155" s="6"/>
      <c r="U155" s="6"/>
      <c r="V155" s="6"/>
      <c r="W155" s="6" t="str">
        <f t="shared" si="6"/>
        <v>-</v>
      </c>
      <c r="X155" s="6"/>
      <c r="Y155" s="6"/>
      <c r="Z155" s="6"/>
      <c r="AA155" s="6"/>
      <c r="AB155" s="6"/>
      <c r="AC155" s="6"/>
    </row>
    <row r="156" spans="1:29" x14ac:dyDescent="0.25">
      <c r="Q156" s="12" t="str">
        <f t="shared" ca="1" si="5"/>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5"/>
        <v>-</v>
      </c>
      <c r="R157" s="6"/>
      <c r="S157" s="6"/>
      <c r="T157" s="6"/>
      <c r="U157" s="6"/>
      <c r="V157" s="6"/>
      <c r="W157" s="6" t="str">
        <f t="shared" si="6"/>
        <v>-</v>
      </c>
      <c r="X157" s="6"/>
      <c r="Y157" s="6"/>
      <c r="Z157" s="6"/>
      <c r="AA157" s="6"/>
      <c r="AB157" s="6"/>
      <c r="AC157" s="6"/>
    </row>
    <row r="158" spans="1:29" x14ac:dyDescent="0.25">
      <c r="Q158" s="12" t="str">
        <f t="shared" ca="1" si="5"/>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5"/>
        <v>-</v>
      </c>
      <c r="R159" s="6"/>
      <c r="S159" s="6"/>
      <c r="T159" s="6"/>
      <c r="U159" s="6"/>
      <c r="V159" s="6"/>
      <c r="W159" s="6" t="str">
        <f t="shared" si="6"/>
        <v>-</v>
      </c>
      <c r="X159" s="6"/>
      <c r="Y159" s="6"/>
      <c r="Z159" s="6"/>
      <c r="AA159" s="6"/>
      <c r="AB159" s="6"/>
      <c r="AC159" s="6"/>
    </row>
    <row r="160" spans="1:29" x14ac:dyDescent="0.25">
      <c r="Q160" s="12" t="str">
        <f t="shared" ca="1" si="5"/>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5"/>
        <v>-</v>
      </c>
      <c r="R161" s="6"/>
      <c r="S161" s="6"/>
      <c r="T161" s="6"/>
      <c r="U161" s="6"/>
      <c r="V161" s="6"/>
      <c r="W161" s="6" t="str">
        <f t="shared" si="6"/>
        <v>-</v>
      </c>
      <c r="X161" s="6"/>
      <c r="Y161" s="6"/>
      <c r="Z161" s="6"/>
      <c r="AA161" s="6"/>
      <c r="AB161" s="6"/>
      <c r="AC161" s="6"/>
    </row>
    <row r="162" spans="1:29" x14ac:dyDescent="0.25">
      <c r="Q162" s="12" t="str">
        <f t="shared" ca="1" si="5"/>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5"/>
        <v>-</v>
      </c>
      <c r="R163" s="6"/>
      <c r="S163" s="6"/>
      <c r="T163" s="6"/>
      <c r="U163" s="6"/>
      <c r="V163" s="6"/>
      <c r="W163" s="6" t="str">
        <f t="shared" si="6"/>
        <v>-</v>
      </c>
      <c r="X163" s="6"/>
      <c r="Y163" s="6"/>
      <c r="Z163" s="6"/>
      <c r="AA163" s="6"/>
      <c r="AB163" s="6"/>
      <c r="AC163" s="6"/>
    </row>
    <row r="164" spans="1:29" x14ac:dyDescent="0.25">
      <c r="Q164" s="12" t="str">
        <f t="shared" ca="1" si="5"/>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5"/>
        <v>-</v>
      </c>
      <c r="R165" s="6"/>
      <c r="S165" s="6"/>
      <c r="T165" s="6"/>
      <c r="U165" s="6"/>
      <c r="V165" s="6"/>
      <c r="W165" s="6" t="str">
        <f t="shared" si="6"/>
        <v>-</v>
      </c>
      <c r="X165" s="6"/>
      <c r="Y165" s="6"/>
      <c r="Z165" s="6"/>
      <c r="AA165" s="6"/>
      <c r="AB165" s="6"/>
      <c r="AC165" s="6"/>
    </row>
    <row r="166" spans="1:29" x14ac:dyDescent="0.25">
      <c r="Q166" s="12" t="str">
        <f t="shared" ca="1" si="5"/>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5"/>
        <v>-</v>
      </c>
      <c r="R167" s="6"/>
      <c r="S167" s="6"/>
      <c r="T167" s="6"/>
      <c r="U167" s="6"/>
      <c r="V167" s="6"/>
      <c r="W167" s="6" t="str">
        <f t="shared" si="6"/>
        <v>-</v>
      </c>
      <c r="X167" s="6"/>
      <c r="Y167" s="6"/>
      <c r="Z167" s="6"/>
      <c r="AA167" s="6"/>
      <c r="AB167" s="6"/>
      <c r="AC167" s="6"/>
    </row>
    <row r="168" spans="1:29" x14ac:dyDescent="0.25">
      <c r="Q168" s="12" t="str">
        <f t="shared" ca="1" si="5"/>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5"/>
        <v>-</v>
      </c>
      <c r="R169" s="6"/>
      <c r="S169" s="6"/>
      <c r="T169" s="6"/>
      <c r="U169" s="6"/>
      <c r="V169" s="6"/>
      <c r="W169" s="6" t="str">
        <f t="shared" si="6"/>
        <v>-</v>
      </c>
      <c r="X169" s="6"/>
      <c r="Y169" s="6"/>
      <c r="Z169" s="6"/>
      <c r="AA169" s="6"/>
      <c r="AB169" s="6"/>
      <c r="AC169" s="6"/>
    </row>
    <row r="170" spans="1:29" x14ac:dyDescent="0.25">
      <c r="Q170" s="12" t="str">
        <f t="shared" ca="1" si="5"/>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5"/>
        <v>-</v>
      </c>
      <c r="R171" s="6"/>
      <c r="S171" s="6"/>
      <c r="T171" s="6"/>
      <c r="U171" s="6"/>
      <c r="V171" s="6"/>
      <c r="W171" s="6" t="str">
        <f t="shared" si="6"/>
        <v>-</v>
      </c>
      <c r="X171" s="6"/>
      <c r="Y171" s="6"/>
      <c r="Z171" s="6"/>
      <c r="AA171" s="6"/>
      <c r="AB171" s="6"/>
      <c r="AC171" s="6"/>
    </row>
    <row r="172" spans="1:29" x14ac:dyDescent="0.25">
      <c r="Q172" s="12" t="str">
        <f t="shared" ca="1" si="5"/>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5"/>
        <v>-</v>
      </c>
      <c r="R173" s="6"/>
      <c r="S173" s="6"/>
      <c r="T173" s="6"/>
      <c r="U173" s="6"/>
      <c r="V173" s="6"/>
      <c r="W173" s="6" t="str">
        <f t="shared" si="6"/>
        <v>-</v>
      </c>
      <c r="X173" s="6"/>
      <c r="Y173" s="6"/>
      <c r="Z173" s="6"/>
      <c r="AA173" s="6"/>
      <c r="AB173" s="6"/>
      <c r="AC173" s="6"/>
    </row>
    <row r="174" spans="1:29" x14ac:dyDescent="0.25">
      <c r="Q174" s="12" t="str">
        <f t="shared" ca="1" si="5"/>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5"/>
        <v>-</v>
      </c>
      <c r="R175" s="6"/>
      <c r="S175" s="6"/>
      <c r="T175" s="6"/>
      <c r="U175" s="6"/>
      <c r="V175" s="6"/>
      <c r="W175" s="6" t="str">
        <f t="shared" si="6"/>
        <v>-</v>
      </c>
      <c r="X175" s="6"/>
      <c r="Y175" s="6"/>
      <c r="Z175" s="6"/>
      <c r="AA175" s="6"/>
      <c r="AB175" s="6"/>
      <c r="AC175" s="6"/>
    </row>
    <row r="176" spans="1:29" x14ac:dyDescent="0.25">
      <c r="Q176" s="12" t="str">
        <f t="shared" ca="1" si="5"/>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5"/>
        <v>-</v>
      </c>
      <c r="R177" s="6"/>
      <c r="S177" s="6"/>
      <c r="T177" s="6"/>
      <c r="U177" s="6"/>
      <c r="V177" s="6"/>
      <c r="W177" s="6" t="str">
        <f t="shared" si="6"/>
        <v>-</v>
      </c>
      <c r="X177" s="6"/>
      <c r="Y177" s="6"/>
      <c r="Z177" s="6"/>
      <c r="AA177" s="6"/>
      <c r="AB177" s="6"/>
      <c r="AC177" s="6"/>
    </row>
    <row r="178" spans="1:29" x14ac:dyDescent="0.25">
      <c r="Q178" s="12" t="str">
        <f t="shared" ca="1" si="5"/>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5"/>
        <v>-</v>
      </c>
      <c r="R179" s="6"/>
      <c r="S179" s="6"/>
      <c r="T179" s="6"/>
      <c r="U179" s="6"/>
      <c r="V179" s="6"/>
      <c r="W179" s="6" t="str">
        <f t="shared" si="6"/>
        <v>-</v>
      </c>
      <c r="X179" s="6"/>
      <c r="Y179" s="6"/>
      <c r="Z179" s="6"/>
      <c r="AA179" s="6"/>
      <c r="AB179" s="6"/>
      <c r="AC179" s="6"/>
    </row>
    <row r="180" spans="1:29" x14ac:dyDescent="0.25">
      <c r="Q180" s="12" t="str">
        <f t="shared" ca="1" si="5"/>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5"/>
        <v>-</v>
      </c>
      <c r="R181" s="6"/>
      <c r="S181" s="6"/>
      <c r="T181" s="6"/>
      <c r="U181" s="6"/>
      <c r="V181" s="6"/>
      <c r="W181" s="6" t="str">
        <f t="shared" si="6"/>
        <v>-</v>
      </c>
      <c r="X181" s="6"/>
      <c r="Y181" s="6"/>
      <c r="Z181" s="6"/>
      <c r="AA181" s="6"/>
      <c r="AB181" s="6"/>
      <c r="AC181" s="6"/>
    </row>
    <row r="182" spans="1:29" x14ac:dyDescent="0.25">
      <c r="Q182" s="12" t="str">
        <f t="shared" ca="1" si="5"/>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5"/>
        <v>-</v>
      </c>
      <c r="R183" s="6"/>
      <c r="S183" s="6"/>
      <c r="T183" s="6"/>
      <c r="U183" s="6"/>
      <c r="V183" s="6"/>
      <c r="W183" s="6" t="str">
        <f t="shared" si="6"/>
        <v>-</v>
      </c>
      <c r="X183" s="6"/>
      <c r="Y183" s="6"/>
      <c r="Z183" s="6"/>
      <c r="AA183" s="6"/>
      <c r="AB183" s="6"/>
      <c r="AC183" s="6"/>
    </row>
    <row r="184" spans="1:29" x14ac:dyDescent="0.25">
      <c r="Q184" s="12" t="str">
        <f t="shared" ca="1" si="5"/>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5"/>
        <v>-</v>
      </c>
      <c r="R185" s="6"/>
      <c r="S185" s="6"/>
      <c r="T185" s="6"/>
      <c r="U185" s="6"/>
      <c r="V185" s="6"/>
      <c r="W185" s="6" t="str">
        <f t="shared" si="6"/>
        <v>-</v>
      </c>
      <c r="X185" s="6"/>
      <c r="Y185" s="6"/>
      <c r="Z185" s="6"/>
      <c r="AA185" s="6"/>
      <c r="AB185" s="6"/>
      <c r="AC185" s="6"/>
    </row>
    <row r="186" spans="1:29" x14ac:dyDescent="0.25">
      <c r="Q186" s="12" t="str">
        <f t="shared" ca="1" si="5"/>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5"/>
        <v>-</v>
      </c>
      <c r="R187" s="6"/>
      <c r="S187" s="6"/>
      <c r="T187" s="6"/>
      <c r="U187" s="6"/>
      <c r="V187" s="6"/>
      <c r="W187" s="6" t="str">
        <f t="shared" si="6"/>
        <v>-</v>
      </c>
      <c r="X187" s="6"/>
      <c r="Y187" s="6"/>
      <c r="Z187" s="6"/>
      <c r="AA187" s="6"/>
      <c r="AB187" s="6"/>
      <c r="AC187" s="6"/>
    </row>
    <row r="188" spans="1:29" x14ac:dyDescent="0.25">
      <c r="Q188" s="12" t="str">
        <f t="shared" ca="1" si="5"/>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5"/>
        <v>-</v>
      </c>
      <c r="R189" s="6"/>
      <c r="S189" s="6"/>
      <c r="T189" s="6"/>
      <c r="U189" s="6"/>
      <c r="V189" s="6"/>
      <c r="W189" s="6" t="str">
        <f t="shared" si="6"/>
        <v>-</v>
      </c>
      <c r="X189" s="6"/>
      <c r="Y189" s="6"/>
      <c r="Z189" s="6"/>
      <c r="AA189" s="6"/>
      <c r="AB189" s="6"/>
      <c r="AC189" s="6"/>
    </row>
    <row r="190" spans="1:29" x14ac:dyDescent="0.25">
      <c r="Q190" s="12" t="str">
        <f t="shared" ca="1" si="5"/>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5"/>
        <v>-</v>
      </c>
      <c r="R191" s="6"/>
      <c r="S191" s="6"/>
      <c r="T191" s="6"/>
      <c r="U191" s="6"/>
      <c r="V191" s="6"/>
      <c r="W191" s="6" t="str">
        <f t="shared" si="6"/>
        <v>-</v>
      </c>
      <c r="X191" s="6"/>
      <c r="Y191" s="6"/>
      <c r="Z191" s="6"/>
      <c r="AA191" s="6"/>
      <c r="AB191" s="6"/>
      <c r="AC191" s="6"/>
    </row>
    <row r="192" spans="1:29" x14ac:dyDescent="0.25">
      <c r="Q192" s="12" t="str">
        <f t="shared" ca="1" si="5"/>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5"/>
        <v>-</v>
      </c>
      <c r="R193" s="6"/>
      <c r="S193" s="6"/>
      <c r="T193" s="6"/>
      <c r="U193" s="6"/>
      <c r="V193" s="6"/>
      <c r="W193" s="6" t="str">
        <f t="shared" si="6"/>
        <v>-</v>
      </c>
      <c r="X193" s="6"/>
      <c r="Y193" s="6"/>
      <c r="Z193" s="6"/>
      <c r="AA193" s="6"/>
      <c r="AB193" s="6"/>
      <c r="AC193" s="6"/>
    </row>
    <row r="194" spans="1:29" x14ac:dyDescent="0.25">
      <c r="Q194" s="12" t="str">
        <f t="shared" ca="1" si="5"/>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5"/>
        <v>-</v>
      </c>
      <c r="R195" s="6"/>
      <c r="S195" s="6"/>
      <c r="T195" s="6"/>
      <c r="U195" s="6"/>
      <c r="V195" s="6"/>
      <c r="W195" s="6" t="str">
        <f t="shared" si="6"/>
        <v>-</v>
      </c>
      <c r="X195" s="6"/>
      <c r="Y195" s="6"/>
      <c r="Z195" s="6"/>
      <c r="AA195" s="6"/>
      <c r="AB195" s="6"/>
      <c r="AC195" s="6"/>
    </row>
    <row r="196" spans="1:29" x14ac:dyDescent="0.25">
      <c r="Q196" s="12" t="str">
        <f t="shared" ca="1" si="5"/>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ref="Q197:Q260" ca="1" si="7">IF(B197&gt;1/1/1900, (IF(R197="Closed",(DATEDIF(B197,P197,"d"))-(DATEDIF(M197,O197,"d")),IF(OR(R197="Pending",ISBLANK(P197)),TODAY()-B197))),"-")</f>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ca="1" si="7"/>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7"/>
        <v>-</v>
      </c>
      <c r="R199" s="6"/>
      <c r="S199" s="6"/>
      <c r="T199" s="6"/>
      <c r="U199" s="6"/>
      <c r="V199" s="6"/>
      <c r="W199" s="6" t="str">
        <f t="shared" si="8"/>
        <v>-</v>
      </c>
      <c r="X199" s="6"/>
      <c r="Y199" s="6"/>
      <c r="Z199" s="6"/>
      <c r="AA199" s="6"/>
      <c r="AB199" s="6"/>
      <c r="AC199" s="6"/>
    </row>
    <row r="200" spans="1:29" x14ac:dyDescent="0.25">
      <c r="Q200" s="12" t="str">
        <f t="shared" ca="1" si="7"/>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7"/>
        <v>-</v>
      </c>
      <c r="R201" s="6"/>
      <c r="S201" s="6"/>
      <c r="T201" s="6"/>
      <c r="U201" s="6"/>
      <c r="V201" s="6"/>
      <c r="W201" s="6" t="str">
        <f t="shared" si="8"/>
        <v>-</v>
      </c>
      <c r="X201" s="6"/>
      <c r="Y201" s="6"/>
      <c r="Z201" s="6"/>
      <c r="AA201" s="6"/>
      <c r="AB201" s="6"/>
      <c r="AC201" s="6"/>
    </row>
    <row r="202" spans="1:29" x14ac:dyDescent="0.25">
      <c r="Q202" s="12" t="str">
        <f t="shared" ca="1" si="7"/>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7"/>
        <v>-</v>
      </c>
      <c r="R203" s="6"/>
      <c r="S203" s="6"/>
      <c r="T203" s="6"/>
      <c r="U203" s="6"/>
      <c r="V203" s="6"/>
      <c r="W203" s="6" t="str">
        <f t="shared" si="8"/>
        <v>-</v>
      </c>
      <c r="X203" s="6"/>
      <c r="Y203" s="6"/>
      <c r="Z203" s="6"/>
      <c r="AA203" s="6"/>
      <c r="AB203" s="6"/>
      <c r="AC203" s="6"/>
    </row>
    <row r="204" spans="1:29" x14ac:dyDescent="0.25">
      <c r="Q204" s="12" t="str">
        <f t="shared" ca="1" si="7"/>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7"/>
        <v>-</v>
      </c>
      <c r="R205" s="6"/>
      <c r="S205" s="6"/>
      <c r="T205" s="6"/>
      <c r="U205" s="6"/>
      <c r="V205" s="6"/>
      <c r="W205" s="6" t="str">
        <f t="shared" si="8"/>
        <v>-</v>
      </c>
      <c r="X205" s="6"/>
      <c r="Y205" s="6"/>
      <c r="Z205" s="6"/>
      <c r="AA205" s="6"/>
      <c r="AB205" s="6"/>
      <c r="AC205" s="6"/>
    </row>
    <row r="206" spans="1:29" x14ac:dyDescent="0.25">
      <c r="Q206" s="12" t="str">
        <f t="shared" ca="1" si="7"/>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7"/>
        <v>-</v>
      </c>
      <c r="R207" s="6"/>
      <c r="S207" s="6"/>
      <c r="T207" s="6"/>
      <c r="U207" s="6"/>
      <c r="V207" s="6"/>
      <c r="W207" s="6" t="str">
        <f t="shared" si="8"/>
        <v>-</v>
      </c>
      <c r="X207" s="6"/>
      <c r="Y207" s="6"/>
      <c r="Z207" s="6"/>
      <c r="AA207" s="6"/>
      <c r="AB207" s="6"/>
      <c r="AC207" s="6"/>
    </row>
    <row r="208" spans="1:29" x14ac:dyDescent="0.25">
      <c r="Q208" s="12" t="str">
        <f t="shared" ca="1" si="7"/>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7"/>
        <v>-</v>
      </c>
      <c r="R209" s="6"/>
      <c r="S209" s="6"/>
      <c r="T209" s="6"/>
      <c r="U209" s="6"/>
      <c r="V209" s="6"/>
      <c r="W209" s="6" t="str">
        <f t="shared" si="8"/>
        <v>-</v>
      </c>
      <c r="X209" s="6"/>
      <c r="Y209" s="6"/>
      <c r="Z209" s="6"/>
      <c r="AA209" s="6"/>
      <c r="AB209" s="6"/>
      <c r="AC209" s="6"/>
    </row>
    <row r="210" spans="1:29" x14ac:dyDescent="0.25">
      <c r="Q210" s="12" t="str">
        <f t="shared" ca="1" si="7"/>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7"/>
        <v>-</v>
      </c>
      <c r="R211" s="6"/>
      <c r="S211" s="6"/>
      <c r="T211" s="6"/>
      <c r="U211" s="6"/>
      <c r="V211" s="6"/>
      <c r="W211" s="6" t="str">
        <f t="shared" si="8"/>
        <v>-</v>
      </c>
      <c r="X211" s="6"/>
      <c r="Y211" s="6"/>
      <c r="Z211" s="6"/>
      <c r="AA211" s="6"/>
      <c r="AB211" s="6"/>
      <c r="AC211" s="6"/>
    </row>
    <row r="212" spans="1:29" x14ac:dyDescent="0.25">
      <c r="Q212" s="12" t="str">
        <f t="shared" ca="1" si="7"/>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7"/>
        <v>-</v>
      </c>
      <c r="R213" s="6"/>
      <c r="S213" s="6"/>
      <c r="T213" s="6"/>
      <c r="U213" s="6"/>
      <c r="V213" s="6"/>
      <c r="W213" s="6" t="str">
        <f t="shared" si="8"/>
        <v>-</v>
      </c>
      <c r="X213" s="6"/>
      <c r="Y213" s="6"/>
      <c r="Z213" s="6"/>
      <c r="AA213" s="6"/>
      <c r="AB213" s="6"/>
      <c r="AC213" s="6"/>
    </row>
    <row r="214" spans="1:29" x14ac:dyDescent="0.25">
      <c r="Q214" s="12" t="str">
        <f t="shared" ca="1" si="7"/>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7"/>
        <v>-</v>
      </c>
      <c r="R215" s="6"/>
      <c r="S215" s="6"/>
      <c r="T215" s="6"/>
      <c r="U215" s="6"/>
      <c r="V215" s="6"/>
      <c r="W215" s="6" t="str">
        <f t="shared" si="8"/>
        <v>-</v>
      </c>
      <c r="X215" s="6"/>
      <c r="Y215" s="6"/>
      <c r="Z215" s="6"/>
      <c r="AA215" s="6"/>
      <c r="AB215" s="6"/>
      <c r="AC215" s="6"/>
    </row>
    <row r="216" spans="1:29" x14ac:dyDescent="0.25">
      <c r="Q216" s="12" t="str">
        <f t="shared" ca="1" si="7"/>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7"/>
        <v>-</v>
      </c>
      <c r="R217" s="6"/>
      <c r="S217" s="6"/>
      <c r="T217" s="6"/>
      <c r="U217" s="6"/>
      <c r="V217" s="6"/>
      <c r="W217" s="6" t="str">
        <f t="shared" si="8"/>
        <v>-</v>
      </c>
      <c r="X217" s="6"/>
      <c r="Y217" s="6"/>
      <c r="Z217" s="6"/>
      <c r="AA217" s="6"/>
      <c r="AB217" s="6"/>
      <c r="AC217" s="6"/>
    </row>
    <row r="218" spans="1:29" x14ac:dyDescent="0.25">
      <c r="Q218" s="12" t="str">
        <f t="shared" ca="1" si="7"/>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7"/>
        <v>-</v>
      </c>
      <c r="R219" s="6"/>
      <c r="S219" s="6"/>
      <c r="T219" s="6"/>
      <c r="U219" s="6"/>
      <c r="V219" s="6"/>
      <c r="W219" s="6" t="str">
        <f t="shared" si="8"/>
        <v>-</v>
      </c>
      <c r="X219" s="6"/>
      <c r="Y219" s="6"/>
      <c r="Z219" s="6"/>
      <c r="AA219" s="6"/>
      <c r="AB219" s="6"/>
      <c r="AC219" s="6"/>
    </row>
    <row r="220" spans="1:29" x14ac:dyDescent="0.25">
      <c r="Q220" s="12" t="str">
        <f t="shared" ca="1" si="7"/>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7"/>
        <v>-</v>
      </c>
      <c r="R221" s="6"/>
      <c r="S221" s="6"/>
      <c r="T221" s="6"/>
      <c r="U221" s="6"/>
      <c r="V221" s="6"/>
      <c r="W221" s="6" t="str">
        <f t="shared" si="8"/>
        <v>-</v>
      </c>
      <c r="X221" s="6"/>
      <c r="Y221" s="6"/>
      <c r="Z221" s="6"/>
      <c r="AA221" s="6"/>
      <c r="AB221" s="6"/>
      <c r="AC221" s="6"/>
    </row>
    <row r="222" spans="1:29" x14ac:dyDescent="0.25">
      <c r="Q222" s="12" t="str">
        <f t="shared" ca="1" si="7"/>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7"/>
        <v>-</v>
      </c>
      <c r="R223" s="6"/>
      <c r="S223" s="6"/>
      <c r="T223" s="6"/>
      <c r="U223" s="6"/>
      <c r="V223" s="6"/>
      <c r="W223" s="6" t="str">
        <f t="shared" si="8"/>
        <v>-</v>
      </c>
      <c r="X223" s="6"/>
      <c r="Y223" s="6"/>
      <c r="Z223" s="6"/>
      <c r="AA223" s="6"/>
      <c r="AB223" s="6"/>
      <c r="AC223" s="6"/>
    </row>
    <row r="224" spans="1:29" x14ac:dyDescent="0.25">
      <c r="Q224" s="12" t="str">
        <f t="shared" ca="1" si="7"/>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7"/>
        <v>-</v>
      </c>
      <c r="R225" s="6"/>
      <c r="S225" s="6"/>
      <c r="T225" s="6"/>
      <c r="U225" s="6"/>
      <c r="V225" s="6"/>
      <c r="W225" s="6" t="str">
        <f t="shared" si="8"/>
        <v>-</v>
      </c>
      <c r="X225" s="6"/>
      <c r="Y225" s="6"/>
      <c r="Z225" s="6"/>
      <c r="AA225" s="6"/>
      <c r="AB225" s="6"/>
      <c r="AC225" s="6"/>
    </row>
    <row r="226" spans="1:29" x14ac:dyDescent="0.25">
      <c r="Q226" s="12" t="str">
        <f t="shared" ca="1" si="7"/>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7"/>
        <v>-</v>
      </c>
      <c r="R227" s="6"/>
      <c r="S227" s="6"/>
      <c r="T227" s="6"/>
      <c r="U227" s="6"/>
      <c r="V227" s="6"/>
      <c r="W227" s="6" t="str">
        <f t="shared" si="8"/>
        <v>-</v>
      </c>
      <c r="X227" s="6"/>
      <c r="Y227" s="6"/>
      <c r="Z227" s="6"/>
      <c r="AA227" s="6"/>
      <c r="AB227" s="6"/>
      <c r="AC227" s="6"/>
    </row>
    <row r="228" spans="1:29" x14ac:dyDescent="0.25">
      <c r="Q228" s="12" t="str">
        <f t="shared" ca="1" si="7"/>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7"/>
        <v>-</v>
      </c>
      <c r="R229" s="6"/>
      <c r="S229" s="6"/>
      <c r="T229" s="6"/>
      <c r="U229" s="6"/>
      <c r="V229" s="6"/>
      <c r="W229" s="6" t="str">
        <f t="shared" si="8"/>
        <v>-</v>
      </c>
      <c r="X229" s="6"/>
      <c r="Y229" s="6"/>
      <c r="Z229" s="6"/>
      <c r="AA229" s="6"/>
      <c r="AB229" s="6"/>
      <c r="AC229" s="6"/>
    </row>
    <row r="230" spans="1:29" x14ac:dyDescent="0.25">
      <c r="Q230" s="12" t="str">
        <f t="shared" ca="1" si="7"/>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7"/>
        <v>-</v>
      </c>
      <c r="R231" s="6"/>
      <c r="S231" s="6"/>
      <c r="T231" s="6"/>
      <c r="U231" s="6"/>
      <c r="V231" s="6"/>
      <c r="W231" s="6" t="str">
        <f t="shared" si="8"/>
        <v>-</v>
      </c>
      <c r="X231" s="6"/>
      <c r="Y231" s="6"/>
      <c r="Z231" s="6"/>
      <c r="AA231" s="6"/>
      <c r="AB231" s="6"/>
      <c r="AC231" s="6"/>
    </row>
    <row r="232" spans="1:29" x14ac:dyDescent="0.25">
      <c r="Q232" s="12" t="str">
        <f t="shared" ca="1" si="7"/>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7"/>
        <v>-</v>
      </c>
      <c r="R233" s="6"/>
      <c r="S233" s="6"/>
      <c r="T233" s="6"/>
      <c r="U233" s="6"/>
      <c r="V233" s="6"/>
      <c r="W233" s="6" t="str">
        <f t="shared" si="8"/>
        <v>-</v>
      </c>
      <c r="X233" s="6"/>
      <c r="Y233" s="6"/>
      <c r="Z233" s="6"/>
      <c r="AA233" s="6"/>
      <c r="AB233" s="6"/>
      <c r="AC233" s="6"/>
    </row>
    <row r="234" spans="1:29" x14ac:dyDescent="0.25">
      <c r="Q234" s="12" t="str">
        <f t="shared" ca="1" si="7"/>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7"/>
        <v>-</v>
      </c>
      <c r="R235" s="6"/>
      <c r="S235" s="6"/>
      <c r="T235" s="6"/>
      <c r="U235" s="6"/>
      <c r="V235" s="6"/>
      <c r="W235" s="6" t="str">
        <f t="shared" si="8"/>
        <v>-</v>
      </c>
      <c r="X235" s="6"/>
      <c r="Y235" s="6"/>
      <c r="Z235" s="6"/>
      <c r="AA235" s="6"/>
      <c r="AB235" s="6"/>
      <c r="AC235" s="6"/>
    </row>
    <row r="236" spans="1:29" x14ac:dyDescent="0.25">
      <c r="Q236" s="12" t="str">
        <f t="shared" ca="1" si="7"/>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7"/>
        <v>-</v>
      </c>
      <c r="R237" s="6"/>
      <c r="S237" s="6"/>
      <c r="T237" s="6"/>
      <c r="U237" s="6"/>
      <c r="V237" s="6"/>
      <c r="W237" s="6" t="str">
        <f t="shared" si="8"/>
        <v>-</v>
      </c>
      <c r="X237" s="6"/>
      <c r="Y237" s="6"/>
      <c r="Z237" s="6"/>
      <c r="AA237" s="6"/>
      <c r="AB237" s="6"/>
      <c r="AC237" s="6"/>
    </row>
    <row r="238" spans="1:29" x14ac:dyDescent="0.25">
      <c r="Q238" s="12" t="str">
        <f t="shared" ca="1" si="7"/>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7"/>
        <v>-</v>
      </c>
      <c r="R239" s="6"/>
      <c r="S239" s="6"/>
      <c r="T239" s="6"/>
      <c r="U239" s="6"/>
      <c r="V239" s="6"/>
      <c r="W239" s="6" t="str">
        <f t="shared" si="8"/>
        <v>-</v>
      </c>
      <c r="X239" s="6"/>
      <c r="Y239" s="6"/>
      <c r="Z239" s="6"/>
      <c r="AA239" s="6"/>
      <c r="AB239" s="6"/>
      <c r="AC239" s="6"/>
    </row>
    <row r="240" spans="1:29" x14ac:dyDescent="0.25">
      <c r="Q240" s="12" t="str">
        <f t="shared" ca="1" si="7"/>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7"/>
        <v>-</v>
      </c>
      <c r="R241" s="6"/>
      <c r="S241" s="6"/>
      <c r="T241" s="6"/>
      <c r="U241" s="6"/>
      <c r="V241" s="6"/>
      <c r="W241" s="6" t="str">
        <f t="shared" si="8"/>
        <v>-</v>
      </c>
      <c r="X241" s="6"/>
      <c r="Y241" s="6"/>
      <c r="Z241" s="6"/>
      <c r="AA241" s="6"/>
      <c r="AB241" s="6"/>
      <c r="AC241" s="6"/>
    </row>
    <row r="242" spans="1:29" x14ac:dyDescent="0.25">
      <c r="Q242" s="12" t="str">
        <f t="shared" ca="1" si="7"/>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7"/>
        <v>-</v>
      </c>
      <c r="R243" s="6"/>
      <c r="S243" s="6"/>
      <c r="T243" s="6"/>
      <c r="U243" s="6"/>
      <c r="V243" s="6"/>
      <c r="W243" s="6" t="str">
        <f t="shared" si="8"/>
        <v>-</v>
      </c>
      <c r="X243" s="6"/>
      <c r="Y243" s="6"/>
      <c r="Z243" s="6"/>
      <c r="AA243" s="6"/>
      <c r="AB243" s="6"/>
      <c r="AC243" s="6"/>
    </row>
    <row r="244" spans="1:29" x14ac:dyDescent="0.25">
      <c r="Q244" s="12" t="str">
        <f t="shared" ca="1" si="7"/>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7"/>
        <v>-</v>
      </c>
      <c r="R245" s="6"/>
      <c r="S245" s="6"/>
      <c r="T245" s="6"/>
      <c r="U245" s="6"/>
      <c r="V245" s="6"/>
      <c r="W245" s="6" t="str">
        <f t="shared" si="8"/>
        <v>-</v>
      </c>
      <c r="X245" s="6"/>
      <c r="Y245" s="6"/>
      <c r="Z245" s="6"/>
      <c r="AA245" s="6"/>
      <c r="AB245" s="6"/>
      <c r="AC245" s="6"/>
    </row>
    <row r="246" spans="1:29" x14ac:dyDescent="0.25">
      <c r="Q246" s="12" t="str">
        <f t="shared" ca="1" si="7"/>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7"/>
        <v>-</v>
      </c>
      <c r="R247" s="6"/>
      <c r="S247" s="6"/>
      <c r="T247" s="6"/>
      <c r="U247" s="6"/>
      <c r="V247" s="6"/>
      <c r="W247" s="6" t="str">
        <f t="shared" si="8"/>
        <v>-</v>
      </c>
      <c r="X247" s="6"/>
      <c r="Y247" s="6"/>
      <c r="Z247" s="6"/>
      <c r="AA247" s="6"/>
      <c r="AB247" s="6"/>
      <c r="AC247" s="6"/>
    </row>
    <row r="248" spans="1:29" x14ac:dyDescent="0.25">
      <c r="Q248" s="12" t="str">
        <f t="shared" ca="1" si="7"/>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7"/>
        <v>-</v>
      </c>
      <c r="R249" s="6"/>
      <c r="S249" s="6"/>
      <c r="T249" s="6"/>
      <c r="U249" s="6"/>
      <c r="V249" s="6"/>
      <c r="W249" s="6" t="str">
        <f t="shared" si="8"/>
        <v>-</v>
      </c>
      <c r="X249" s="6"/>
      <c r="Y249" s="6"/>
      <c r="Z249" s="6"/>
      <c r="AA249" s="6"/>
      <c r="AB249" s="6"/>
      <c r="AC249" s="6"/>
    </row>
    <row r="250" spans="1:29" x14ac:dyDescent="0.25">
      <c r="Q250" s="12" t="str">
        <f t="shared" ca="1" si="7"/>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7"/>
        <v>-</v>
      </c>
      <c r="R251" s="6"/>
      <c r="S251" s="6"/>
      <c r="T251" s="6"/>
      <c r="U251" s="6"/>
      <c r="V251" s="6"/>
      <c r="W251" s="6" t="str">
        <f t="shared" si="8"/>
        <v>-</v>
      </c>
      <c r="X251" s="6"/>
      <c r="Y251" s="6"/>
      <c r="Z251" s="6"/>
      <c r="AA251" s="6"/>
      <c r="AB251" s="6"/>
      <c r="AC251" s="6"/>
    </row>
    <row r="252" spans="1:29" x14ac:dyDescent="0.25">
      <c r="Q252" s="12" t="str">
        <f t="shared" ca="1" si="7"/>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7"/>
        <v>-</v>
      </c>
      <c r="R253" s="6"/>
      <c r="S253" s="6"/>
      <c r="T253" s="6"/>
      <c r="U253" s="6"/>
      <c r="V253" s="6"/>
      <c r="W253" s="6" t="str">
        <f t="shared" si="8"/>
        <v>-</v>
      </c>
      <c r="X253" s="6"/>
      <c r="Y253" s="6"/>
      <c r="Z253" s="6"/>
      <c r="AA253" s="6"/>
      <c r="AB253" s="6"/>
      <c r="AC253" s="6"/>
    </row>
    <row r="254" spans="1:29" x14ac:dyDescent="0.25">
      <c r="Q254" s="12" t="str">
        <f t="shared" ca="1" si="7"/>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7"/>
        <v>-</v>
      </c>
      <c r="R255" s="6"/>
      <c r="S255" s="6"/>
      <c r="T255" s="6"/>
      <c r="U255" s="6"/>
      <c r="V255" s="6"/>
      <c r="W255" s="6" t="str">
        <f t="shared" si="8"/>
        <v>-</v>
      </c>
      <c r="X255" s="6"/>
      <c r="Y255" s="6"/>
      <c r="Z255" s="6"/>
      <c r="AA255" s="6"/>
      <c r="AB255" s="6"/>
      <c r="AC255" s="6"/>
    </row>
    <row r="256" spans="1:29" x14ac:dyDescent="0.25">
      <c r="Q256" s="12" t="str">
        <f t="shared" ca="1" si="7"/>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7"/>
        <v>-</v>
      </c>
      <c r="R257" s="6"/>
      <c r="S257" s="6"/>
      <c r="T257" s="6"/>
      <c r="U257" s="6"/>
      <c r="V257" s="6"/>
      <c r="W257" s="6" t="str">
        <f t="shared" si="8"/>
        <v>-</v>
      </c>
      <c r="X257" s="6"/>
      <c r="Y257" s="6"/>
      <c r="Z257" s="6"/>
      <c r="AA257" s="6"/>
      <c r="AB257" s="6"/>
      <c r="AC257" s="6"/>
    </row>
    <row r="258" spans="1:29" x14ac:dyDescent="0.25">
      <c r="Q258" s="12" t="str">
        <f t="shared" ca="1" si="7"/>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7"/>
        <v>-</v>
      </c>
      <c r="R259" s="6"/>
      <c r="S259" s="6"/>
      <c r="T259" s="6"/>
      <c r="U259" s="6"/>
      <c r="V259" s="6"/>
      <c r="W259" s="6" t="str">
        <f t="shared" si="8"/>
        <v>-</v>
      </c>
      <c r="X259" s="6"/>
      <c r="Y259" s="6"/>
      <c r="Z259" s="6"/>
      <c r="AA259" s="6"/>
      <c r="AB259" s="6"/>
      <c r="AC259" s="6"/>
    </row>
    <row r="260" spans="1:29" x14ac:dyDescent="0.25">
      <c r="Q260" s="12" t="str">
        <f t="shared" ca="1" si="7"/>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ref="Q261:Q266" ca="1" si="9">IF(B261&gt;1/1/1900, (IF(R261="Closed",(DATEDIF(B261,P261,"d"))-(DATEDIF(M261,O261,"d")),IF(OR(R261="Pending",ISBLANK(P261)),TODAY()-B261))),"-")</f>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ca="1" si="9"/>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9"/>
        <v>-</v>
      </c>
      <c r="R263" s="6"/>
      <c r="S263" s="6"/>
      <c r="T263" s="6"/>
      <c r="U263" s="6"/>
      <c r="V263" s="6"/>
      <c r="W263" s="6" t="str">
        <f t="shared" si="10"/>
        <v>-</v>
      </c>
      <c r="X263" s="6"/>
      <c r="Y263" s="6"/>
      <c r="Z263" s="6"/>
      <c r="AA263" s="6"/>
      <c r="AB263" s="6"/>
      <c r="AC263" s="6"/>
    </row>
    <row r="264" spans="1:29" x14ac:dyDescent="0.25">
      <c r="Q264" s="12" t="str">
        <f t="shared" ca="1" si="9"/>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9"/>
        <v>-</v>
      </c>
      <c r="R265" s="6"/>
      <c r="S265" s="6"/>
      <c r="T265" s="6"/>
      <c r="U265" s="6"/>
      <c r="V265" s="6"/>
      <c r="W265" s="6" t="str">
        <f t="shared" si="10"/>
        <v>-</v>
      </c>
      <c r="X265" s="6"/>
      <c r="Y265" s="6"/>
      <c r="Z265" s="6"/>
      <c r="AA265" s="6"/>
      <c r="AB265" s="6"/>
      <c r="AC265" s="6"/>
    </row>
    <row r="266" spans="1:29" x14ac:dyDescent="0.25">
      <c r="Q266" s="12" t="str">
        <f t="shared" ca="1" si="9"/>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ref="Q267:Q325" ca="1" si="11">IF(B267&gt;1/1/1900, (IF(R267="Closed",(DATEDIF(B267,P267,"d"))-(DATEDIF(M267,O267,"d")),IF(OR(R267="Pending",ISBLANK(P267)),TODAY()-B267))),"-")</f>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B3A6-D059-47DC-978B-14D9B36E33AE}">
  <sheetPr>
    <tabColor theme="4" tint="0.79998168889431442"/>
    <pageSetUpPr fitToPage="1"/>
  </sheetPr>
  <dimension ref="A2:AE307"/>
  <sheetViews>
    <sheetView view="pageBreakPreview" topLeftCell="A4" zoomScaleNormal="100" zoomScaleSheetLayoutView="100" zoomScalePageLayoutView="60" workbookViewId="0">
      <selection activeCell="P8" sqref="P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5" t="s">
        <v>638</v>
      </c>
      <c r="B3" s="262"/>
      <c r="C3" s="262"/>
      <c r="D3" s="262"/>
      <c r="E3" s="262"/>
      <c r="F3" s="262"/>
      <c r="G3" s="262"/>
      <c r="H3" s="262"/>
      <c r="I3" s="262"/>
      <c r="J3" s="262"/>
      <c r="K3" s="262"/>
      <c r="L3" s="262"/>
      <c r="M3" s="262"/>
      <c r="N3" s="262"/>
      <c r="O3" s="262"/>
      <c r="P3" s="262"/>
      <c r="Q3" s="262"/>
    </row>
    <row r="4" spans="1:17" ht="26.1" customHeight="1" x14ac:dyDescent="0.25">
      <c r="A4" s="262" t="s">
        <v>585</v>
      </c>
      <c r="B4" s="262"/>
      <c r="C4" s="262"/>
      <c r="D4" s="262"/>
      <c r="E4" s="262"/>
      <c r="F4" s="262"/>
      <c r="G4" s="262"/>
      <c r="H4" s="262"/>
      <c r="I4" s="262"/>
      <c r="J4" s="262"/>
      <c r="K4" s="262"/>
      <c r="L4" s="262"/>
      <c r="M4" s="262"/>
      <c r="N4" s="262"/>
      <c r="O4" s="262"/>
      <c r="P4" s="262"/>
      <c r="Q4" s="262"/>
    </row>
    <row r="5" spans="1:17" ht="17.649999999999999" customHeight="1" x14ac:dyDescent="0.25">
      <c r="A5" s="186" t="s">
        <v>632</v>
      </c>
      <c r="B5" s="186"/>
      <c r="C5" s="186"/>
      <c r="D5" s="186"/>
      <c r="E5" s="186"/>
      <c r="F5" s="186"/>
      <c r="G5" s="186"/>
      <c r="H5" s="186"/>
      <c r="I5" s="186"/>
      <c r="J5" s="186"/>
      <c r="K5" s="186"/>
      <c r="L5" s="186"/>
      <c r="M5" s="186"/>
      <c r="N5" s="186"/>
      <c r="O5" s="186"/>
      <c r="P5" s="186"/>
      <c r="Q5" s="186"/>
    </row>
    <row r="6" spans="1:17" ht="22.15" customHeight="1" x14ac:dyDescent="0.25">
      <c r="A6" s="186"/>
      <c r="B6" s="186"/>
      <c r="C6" s="186"/>
      <c r="D6" s="186"/>
      <c r="E6" s="186"/>
      <c r="F6" s="186"/>
      <c r="G6" s="186"/>
      <c r="H6" s="186"/>
      <c r="I6" s="186"/>
      <c r="J6" s="186"/>
      <c r="K6" s="186"/>
      <c r="L6" s="186"/>
      <c r="M6" s="186"/>
      <c r="N6" s="186"/>
      <c r="O6" s="186"/>
      <c r="P6" s="186"/>
      <c r="Q6" s="186"/>
    </row>
    <row r="7" spans="1:17" ht="15.75" thickBot="1" x14ac:dyDescent="0.3"/>
    <row r="8" spans="1:17" ht="36" x14ac:dyDescent="0.3">
      <c r="A8" s="121" t="s">
        <v>741</v>
      </c>
      <c r="B8" s="122" t="s">
        <v>742</v>
      </c>
      <c r="C8" s="265" t="str">
        <f>$B$8&amp;" Internal Affairs Summary"</f>
        <v>Q1 Internal Affairs Summary</v>
      </c>
      <c r="D8" s="265"/>
      <c r="E8" s="265"/>
      <c r="F8" s="265"/>
      <c r="G8" s="265"/>
      <c r="H8" s="265"/>
      <c r="I8" s="265"/>
      <c r="J8" s="265"/>
      <c r="K8" s="265"/>
      <c r="L8" s="265"/>
      <c r="M8" s="265"/>
      <c r="N8" s="265"/>
      <c r="O8" s="265"/>
    </row>
    <row r="9" spans="1:17" ht="33" customHeight="1" x14ac:dyDescent="0.3">
      <c r="A9" s="123" t="s">
        <v>619</v>
      </c>
      <c r="B9" s="124">
        <f>IF($B$8 = "Q1", DATE($M$49, 1, 1), IF($B$8 = "Q2", DATE($M$49, 4, 1), IF($B$8 = "Q3", DATE($M$49, 7, 1), IF($B$8 = "Q4", DATE($M$49, 10, 1), DATE($M$49, 1, 1)))))</f>
        <v>44927</v>
      </c>
      <c r="C9" s="266">
        <f>'Start Here'!$C$16</f>
        <v>2023</v>
      </c>
      <c r="D9" s="265"/>
      <c r="E9" s="265"/>
      <c r="F9" s="265"/>
      <c r="G9" s="265"/>
      <c r="H9" s="265"/>
      <c r="I9" s="265"/>
      <c r="J9" s="265"/>
      <c r="K9" s="265"/>
      <c r="L9" s="265"/>
      <c r="M9" s="265"/>
      <c r="N9" s="265"/>
      <c r="O9" s="265"/>
      <c r="P9" s="119"/>
      <c r="Q9" s="119"/>
    </row>
    <row r="10" spans="1:17" ht="21" customHeight="1" thickBot="1" x14ac:dyDescent="0.35">
      <c r="A10" s="125" t="s">
        <v>620</v>
      </c>
      <c r="B10" s="126">
        <f>IF($B$8 = "Q1", DATE($M$49, 3, 31), IF($B$8 = "Q2", DATE($M$49, 6, 30), IF($B$8 = "Q3", DATE($M$49, 9, 30), IF($B$8 = "Q4", DATE($M$49, 12, 31), DATE($M$49, 12, 31)))))</f>
        <v>45016</v>
      </c>
      <c r="C10" s="267" t="str">
        <f>"Internal Affairs: "&amp;$B$8&amp;" Snapshot"</f>
        <v>Internal Affairs: Q1 Snapshot</v>
      </c>
      <c r="D10" s="182"/>
      <c r="E10" s="182"/>
      <c r="F10" s="182"/>
      <c r="G10" s="182"/>
      <c r="H10" s="182"/>
      <c r="I10" s="182"/>
      <c r="J10" s="182"/>
      <c r="K10" s="182"/>
      <c r="L10" s="182"/>
      <c r="M10" s="182"/>
      <c r="N10" s="182"/>
      <c r="O10" s="182"/>
      <c r="P10" s="119"/>
      <c r="Q10" s="119"/>
    </row>
    <row r="12" spans="1:17" ht="18.75" x14ac:dyDescent="0.3">
      <c r="A12" s="246" t="str">
        <f>"This sheet contains some top-line facts and figures for Internal Affairs cases closed in "&amp;$B$8&amp;"."</f>
        <v>This sheet contains some top-line facts and figures for Internal Affairs cases closed in Q1.</v>
      </c>
      <c r="B12" s="262"/>
      <c r="C12" s="262"/>
      <c r="D12" s="262"/>
      <c r="E12" s="262"/>
      <c r="F12" s="262"/>
      <c r="G12" s="262"/>
      <c r="H12" s="262"/>
      <c r="I12" s="262"/>
      <c r="J12" s="262"/>
      <c r="K12" s="262"/>
      <c r="L12" s="262"/>
      <c r="M12" s="262"/>
      <c r="N12" s="262"/>
      <c r="O12" s="262"/>
      <c r="P12" s="262"/>
      <c r="Q12" s="262"/>
    </row>
    <row r="13" spans="1:17" ht="18.75" x14ac:dyDescent="0.3">
      <c r="A13" s="246" t="s">
        <v>705</v>
      </c>
      <c r="B13" s="246"/>
      <c r="C13" s="246"/>
      <c r="D13" s="246"/>
      <c r="E13" s="246"/>
      <c r="F13" s="246"/>
      <c r="G13" s="246"/>
      <c r="H13" s="246"/>
      <c r="I13" s="246"/>
      <c r="J13" s="246"/>
      <c r="K13" s="246"/>
      <c r="L13" s="246"/>
      <c r="M13" s="246"/>
      <c r="N13" s="246"/>
      <c r="O13" s="246"/>
      <c r="P13" s="246"/>
      <c r="Q13" s="246"/>
    </row>
    <row r="15" spans="1:17" ht="40.5" customHeight="1" x14ac:dyDescent="0.25">
      <c r="A15" s="94"/>
      <c r="B15" s="94"/>
      <c r="C15" s="94"/>
      <c r="D15" s="94"/>
      <c r="E15" s="95"/>
      <c r="F15" s="263" t="s">
        <v>706</v>
      </c>
      <c r="G15" s="264"/>
      <c r="H15" s="233" t="s">
        <v>707</v>
      </c>
      <c r="I15" s="233"/>
      <c r="J15" s="233" t="s">
        <v>708</v>
      </c>
      <c r="K15" s="233"/>
      <c r="L15" s="233" t="s">
        <v>703</v>
      </c>
      <c r="M15" s="233"/>
      <c r="N15" s="94"/>
      <c r="O15" s="94"/>
      <c r="P15" s="94"/>
      <c r="Q15" s="94"/>
    </row>
    <row r="16" spans="1:17" ht="18.75" x14ac:dyDescent="0.3">
      <c r="C16" s="73"/>
      <c r="D16" s="73"/>
      <c r="E16" s="90" t="s">
        <v>658</v>
      </c>
      <c r="F16" s="251">
        <f t="shared" ref="F16:F24" si="0">COUNTIFS(PendingStatus,"Closed",PendingMSO,$E16,PendingCloseDate,"&gt;="&amp;$B$9,PendingCloseDate,"&lt;="&amp;$B$10) + COUNTIFS(OpenedStatus,"Closed",OpenedMSO,$E16,OpenedCloseDate,"&gt;="&amp;$B$9,OpenedCloseDate,"&lt;="&amp;$B$10)</f>
        <v>0</v>
      </c>
      <c r="G16" s="254"/>
      <c r="H16" s="252">
        <f t="shared" ref="H16:H24" si="1">COUNTIFS(PendingMSO,$E16,PendingStatus,"Closed",PendingMSOMatch,"Yes",PendingCloseDate,"&gt;="&amp;$B$9,PendingCloseDate,"&lt;="&amp;$B$10) + COUNTIFS(OpenedMSO,$E16,OpenedStatus,"Closed",OpenedMSOMatch,"Yes",OpenedCloseDate,"&gt;="&amp;$B$9,OpenedCloseDate,"&lt;="&amp;$B$10)</f>
        <v>0</v>
      </c>
      <c r="I16" s="252"/>
      <c r="J16" s="252">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2"/>
      <c r="L16" s="252">
        <f t="shared" ref="L16:L24" si="3">COUNTIFS(PendingMSO,$E16,PendingInternalDisposition, "&lt;&gt;Sustained", PendingCloseDate,"&gt;="&amp;$B$9,PendingCloseDate,"&lt;="&amp;$B$10) + COUNTIFS(OpenedMSO,$E16,OpenedInternalDisposition, "&lt;&gt;Sustained", OpenedCloseDate,"&gt;="&amp;$B$9,OpenedCloseDate,"&lt;="&amp;$B$10)</f>
        <v>0</v>
      </c>
      <c r="M16" s="252"/>
    </row>
    <row r="17" spans="3:16" ht="18.75" x14ac:dyDescent="0.3">
      <c r="C17" s="67"/>
      <c r="D17" s="67"/>
      <c r="E17" s="91" t="s">
        <v>651</v>
      </c>
      <c r="F17" s="261">
        <f t="shared" si="0"/>
        <v>0</v>
      </c>
      <c r="G17" s="256"/>
      <c r="H17" s="255">
        <f t="shared" si="1"/>
        <v>0</v>
      </c>
      <c r="I17" s="255"/>
      <c r="J17" s="255">
        <f t="shared" si="2"/>
        <v>0</v>
      </c>
      <c r="K17" s="255"/>
      <c r="L17" s="255">
        <f t="shared" si="3"/>
        <v>0</v>
      </c>
      <c r="M17" s="255"/>
    </row>
    <row r="18" spans="3:16" ht="18.75" x14ac:dyDescent="0.3">
      <c r="E18" s="92" t="s">
        <v>652</v>
      </c>
      <c r="F18" s="257">
        <f t="shared" si="0"/>
        <v>0</v>
      </c>
      <c r="G18" s="247"/>
      <c r="H18" s="246">
        <f t="shared" si="1"/>
        <v>0</v>
      </c>
      <c r="I18" s="246"/>
      <c r="J18" s="246">
        <f t="shared" si="2"/>
        <v>0</v>
      </c>
      <c r="K18" s="246"/>
      <c r="L18" s="246">
        <f t="shared" si="3"/>
        <v>0</v>
      </c>
      <c r="M18" s="246"/>
    </row>
    <row r="19" spans="3:16" ht="18.75" x14ac:dyDescent="0.3">
      <c r="C19" s="67"/>
      <c r="D19" s="67"/>
      <c r="E19" s="91" t="s">
        <v>653</v>
      </c>
      <c r="F19" s="261">
        <f t="shared" si="0"/>
        <v>0</v>
      </c>
      <c r="G19" s="256"/>
      <c r="H19" s="255">
        <f t="shared" si="1"/>
        <v>0</v>
      </c>
      <c r="I19" s="255"/>
      <c r="J19" s="255">
        <f t="shared" si="2"/>
        <v>0</v>
      </c>
      <c r="K19" s="255"/>
      <c r="L19" s="255">
        <f t="shared" si="3"/>
        <v>0</v>
      </c>
      <c r="M19" s="255"/>
    </row>
    <row r="20" spans="3:16" ht="18.75" x14ac:dyDescent="0.3">
      <c r="E20" s="92" t="s">
        <v>654</v>
      </c>
      <c r="F20" s="257">
        <f t="shared" si="0"/>
        <v>0</v>
      </c>
      <c r="G20" s="247"/>
      <c r="H20" s="246">
        <f t="shared" si="1"/>
        <v>0</v>
      </c>
      <c r="I20" s="246"/>
      <c r="J20" s="246">
        <f t="shared" si="2"/>
        <v>0</v>
      </c>
      <c r="K20" s="246"/>
      <c r="L20" s="246">
        <f t="shared" si="3"/>
        <v>0</v>
      </c>
      <c r="M20" s="246"/>
    </row>
    <row r="21" spans="3:16" ht="18.75" x14ac:dyDescent="0.3">
      <c r="C21" s="67"/>
      <c r="D21" s="67"/>
      <c r="E21" s="91" t="s">
        <v>655</v>
      </c>
      <c r="F21" s="261">
        <f t="shared" si="0"/>
        <v>0</v>
      </c>
      <c r="G21" s="256"/>
      <c r="H21" s="255">
        <f t="shared" si="1"/>
        <v>0</v>
      </c>
      <c r="I21" s="255"/>
      <c r="J21" s="255">
        <f t="shared" si="2"/>
        <v>0</v>
      </c>
      <c r="K21" s="255"/>
      <c r="L21" s="255">
        <f t="shared" si="3"/>
        <v>0</v>
      </c>
      <c r="M21" s="255"/>
    </row>
    <row r="22" spans="3:16" ht="18.75" x14ac:dyDescent="0.3">
      <c r="E22" s="92" t="s">
        <v>656</v>
      </c>
      <c r="F22" s="257">
        <f t="shared" si="0"/>
        <v>0</v>
      </c>
      <c r="G22" s="247"/>
      <c r="H22" s="246">
        <f t="shared" si="1"/>
        <v>0</v>
      </c>
      <c r="I22" s="246"/>
      <c r="J22" s="246">
        <f t="shared" si="2"/>
        <v>0</v>
      </c>
      <c r="K22" s="246"/>
      <c r="L22" s="246">
        <f t="shared" si="3"/>
        <v>0</v>
      </c>
      <c r="M22" s="246"/>
    </row>
    <row r="23" spans="3:16" ht="18.75" x14ac:dyDescent="0.3">
      <c r="C23" s="67"/>
      <c r="D23" s="67"/>
      <c r="E23" s="91" t="s">
        <v>5</v>
      </c>
      <c r="F23" s="261">
        <f t="shared" si="0"/>
        <v>0</v>
      </c>
      <c r="G23" s="256"/>
      <c r="H23" s="255">
        <f t="shared" si="1"/>
        <v>0</v>
      </c>
      <c r="I23" s="255"/>
      <c r="J23" s="255">
        <f t="shared" si="2"/>
        <v>0</v>
      </c>
      <c r="K23" s="255"/>
      <c r="L23" s="255">
        <f t="shared" si="3"/>
        <v>0</v>
      </c>
      <c r="M23" s="255"/>
    </row>
    <row r="24" spans="3:16" ht="18.75" x14ac:dyDescent="0.3">
      <c r="E24" s="92" t="s">
        <v>657</v>
      </c>
      <c r="F24" s="257">
        <f t="shared" si="0"/>
        <v>0</v>
      </c>
      <c r="G24" s="247"/>
      <c r="H24" s="246">
        <f t="shared" si="1"/>
        <v>0</v>
      </c>
      <c r="I24" s="246"/>
      <c r="J24" s="246">
        <f t="shared" si="2"/>
        <v>0</v>
      </c>
      <c r="K24" s="246"/>
      <c r="L24" s="246">
        <f t="shared" si="3"/>
        <v>0</v>
      </c>
      <c r="M24" s="246"/>
    </row>
    <row r="25" spans="3:16" ht="18.75" x14ac:dyDescent="0.3">
      <c r="C25" s="78"/>
      <c r="D25" s="78"/>
      <c r="E25" s="93" t="s">
        <v>615</v>
      </c>
      <c r="F25" s="258">
        <f>SUM(F16:F24)</f>
        <v>0</v>
      </c>
      <c r="G25" s="259"/>
      <c r="H25" s="260">
        <f t="shared" ref="H25" si="4">SUM(H16:H24)</f>
        <v>0</v>
      </c>
      <c r="I25" s="260"/>
      <c r="J25" s="260">
        <f>SUM(J16:J24)</f>
        <v>0</v>
      </c>
      <c r="K25" s="260"/>
      <c r="L25" s="260">
        <f>SUM(L16:L24)</f>
        <v>0</v>
      </c>
      <c r="M25" s="260"/>
    </row>
    <row r="28" spans="3:16" ht="21" x14ac:dyDescent="0.35">
      <c r="F28" s="248" t="str">
        <f>"Distribution of sources for complaints closed in "&amp;$B$8</f>
        <v>Distribution of sources for complaints closed in Q1</v>
      </c>
      <c r="G28" s="248"/>
      <c r="H28" s="248"/>
      <c r="I28" s="248"/>
      <c r="J28" s="248"/>
      <c r="K28" s="248"/>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9" t="s">
        <v>26</v>
      </c>
      <c r="G30" s="249"/>
      <c r="H30" s="250" t="s">
        <v>28</v>
      </c>
      <c r="I30" s="250"/>
      <c r="J30" s="249" t="s">
        <v>27</v>
      </c>
      <c r="K30" s="249"/>
      <c r="L30" s="99"/>
      <c r="M30" s="99"/>
      <c r="N30" s="99"/>
      <c r="O30" s="99"/>
      <c r="P30" s="99"/>
    </row>
    <row r="31" spans="3:16" ht="18.75" x14ac:dyDescent="0.3">
      <c r="E31" s="134" t="s">
        <v>709</v>
      </c>
      <c r="F31" s="251">
        <f>COUNTIFS(PendingComplaintSource, F30, PendingCloseDate,"&gt;="&amp;$B$9,PendingCloseDate,"&lt;="&amp;$B$10) + COUNTIFS(OpenedComplaintSource, F30, OpenedCloseDate,"&gt;="&amp;$B$9,OpenedCloseDate,"&lt;="&amp;$B$10)</f>
        <v>0</v>
      </c>
      <c r="G31" s="252"/>
      <c r="H31" s="253">
        <f>COUNTIFS(PendingComplaintSource, H30, PendingCloseDate,"&gt;="&amp;$B$9,PendingCloseDate,"&lt;="&amp;$B$10) + COUNTIFS(OpenedComplaintSource, H30, OpenedCloseDate,"&gt;="&amp;$B$9,OpenedCloseDate,"&lt;="&amp;$B$10)</f>
        <v>0</v>
      </c>
      <c r="I31" s="253"/>
      <c r="J31" s="252">
        <f>COUNTIFS(PendingComplaintSource, J30, PendingCloseDate,"&gt;="&amp;$B$9,PendingCloseDate,"&lt;="&amp;$B$10) + COUNTIFS(OpenedComplaintSource, J30, OpenedCloseDate,"&gt;="&amp;$B$9,OpenedCloseDate,"&lt;="&amp;$B$10)</f>
        <v>0</v>
      </c>
      <c r="K31" s="254"/>
      <c r="L31" s="99"/>
      <c r="M31" s="99"/>
      <c r="N31" s="99"/>
      <c r="O31" s="99"/>
      <c r="P31" s="99"/>
    </row>
    <row r="32" spans="3:16" ht="18.75" x14ac:dyDescent="0.3">
      <c r="E32" s="120" t="s">
        <v>710</v>
      </c>
      <c r="F32" s="223" t="str">
        <f t="shared" ref="F32" si="5">IF(SUM($F31:$J31)=0, "", F31/SUM($F31:$J31))</f>
        <v/>
      </c>
      <c r="G32" s="224"/>
      <c r="H32" s="225" t="str">
        <f t="shared" ref="H32" si="6">IF(SUM($F31:$J31)=0, "", H31/SUM($F31:$J31))</f>
        <v/>
      </c>
      <c r="I32" s="225"/>
      <c r="J32" s="224" t="str">
        <f>IF(SUM($F31:$J31)=0, "", J31/SUM($F31:$J31))</f>
        <v/>
      </c>
      <c r="K32" s="226"/>
    </row>
    <row r="33" spans="1:17" ht="15.75" thickBot="1" x14ac:dyDescent="0.3"/>
    <row r="34" spans="1:17" ht="36.75" customHeight="1" x14ac:dyDescent="0.3">
      <c r="C34" s="227" t="str">
        <f>"Frequency of discipline by type for complaints closed in "&amp;$B$8</f>
        <v>Frequency of discipline by type for complaints closed in Q1</v>
      </c>
      <c r="D34" s="227"/>
      <c r="E34" s="227"/>
      <c r="F34" s="227"/>
      <c r="G34" s="137"/>
      <c r="I34" s="228" t="str">
        <f>$B$8&amp;" Summary"</f>
        <v>Q1 Summary</v>
      </c>
      <c r="J34" s="228"/>
      <c r="K34" s="228"/>
      <c r="M34" s="229" t="s">
        <v>625</v>
      </c>
      <c r="N34" s="230"/>
      <c r="O34" s="230"/>
      <c r="P34" s="231"/>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38" t="s">
        <v>621</v>
      </c>
      <c r="J35" s="239"/>
      <c r="K35" s="242">
        <f>SUM($B$67:$D$67)</f>
        <v>2</v>
      </c>
      <c r="M35" s="232"/>
      <c r="N35" s="233"/>
      <c r="O35" s="233"/>
      <c r="P35" s="234"/>
    </row>
    <row r="36" spans="1:17" ht="18.75" x14ac:dyDescent="0.3">
      <c r="B36" s="67"/>
      <c r="C36" s="67"/>
      <c r="D36" s="67"/>
      <c r="E36" s="139"/>
      <c r="F36" s="91" t="s">
        <v>663</v>
      </c>
      <c r="G36" s="139">
        <f t="shared" si="7"/>
        <v>0</v>
      </c>
      <c r="I36" s="240"/>
      <c r="J36" s="241"/>
      <c r="K36" s="243"/>
      <c r="M36" s="232"/>
      <c r="N36" s="233"/>
      <c r="O36" s="233"/>
      <c r="P36" s="234"/>
    </row>
    <row r="37" spans="1:17" ht="18.75" customHeight="1" x14ac:dyDescent="0.3">
      <c r="E37" s="138"/>
      <c r="F37" s="92" t="s">
        <v>664</v>
      </c>
      <c r="G37" s="138">
        <f t="shared" si="7"/>
        <v>0</v>
      </c>
      <c r="I37" s="244" t="s">
        <v>643</v>
      </c>
      <c r="J37" s="245"/>
      <c r="K37" s="106">
        <f>SUM($E$67:$G$67)</f>
        <v>1</v>
      </c>
      <c r="M37" s="232"/>
      <c r="N37" s="233"/>
      <c r="O37" s="233"/>
      <c r="P37" s="234"/>
    </row>
    <row r="38" spans="1:17" ht="18.75" x14ac:dyDescent="0.3">
      <c r="B38" s="67"/>
      <c r="C38" s="67"/>
      <c r="D38" s="67"/>
      <c r="E38" s="139"/>
      <c r="F38" s="91" t="s">
        <v>665</v>
      </c>
      <c r="G38" s="139">
        <f t="shared" si="7"/>
        <v>0</v>
      </c>
      <c r="I38" s="246" t="s">
        <v>622</v>
      </c>
      <c r="J38" s="247"/>
      <c r="K38" s="107">
        <f>$B$82</f>
        <v>0</v>
      </c>
      <c r="M38" s="232"/>
      <c r="N38" s="233"/>
      <c r="O38" s="233"/>
      <c r="P38" s="234"/>
    </row>
    <row r="39" spans="1:17" ht="18.75" x14ac:dyDescent="0.3">
      <c r="E39" s="138"/>
      <c r="F39" s="92" t="s">
        <v>666</v>
      </c>
      <c r="G39" s="138">
        <f t="shared" si="7"/>
        <v>0</v>
      </c>
      <c r="I39" s="255" t="s">
        <v>623</v>
      </c>
      <c r="J39" s="256"/>
      <c r="K39" s="106">
        <f>COUNTIFS(OpenedInternalDisposition, "Sustained", OpenedCloseDate,"&gt;="&amp;$B$9, OpenedCloseDate, "&lt;="&amp;$B$10, OpenedStatus, "Closed")+COUNTIFS(PendingInternalDisposition, "Sustained", PendingCloseDate, "&gt;="&amp;$B$9, PendingCloseDate, "&lt;="&amp;$B$10, PendingStatus,"Closed")</f>
        <v>0</v>
      </c>
      <c r="M39" s="232"/>
      <c r="N39" s="233"/>
      <c r="O39" s="233"/>
      <c r="P39" s="234"/>
    </row>
    <row r="40" spans="1:17" ht="18.75" x14ac:dyDescent="0.3">
      <c r="B40" s="67"/>
      <c r="C40" s="67"/>
      <c r="D40" s="67"/>
      <c r="E40" s="139"/>
      <c r="F40" s="91" t="s">
        <v>667</v>
      </c>
      <c r="G40" s="139">
        <f t="shared" si="7"/>
        <v>0</v>
      </c>
      <c r="I40" s="246" t="s">
        <v>618</v>
      </c>
      <c r="J40" s="247"/>
      <c r="K40" s="107">
        <f>COUNTIFS(PendingInternalDisposition, "&lt;&gt;Sustained", PendingCloseDate, "&gt;="&amp;$B$9, PendingCloseDate, "&lt;="&amp;$B$10, PendingStatus, "Closed")+COUNTIFS(OpenedInternalDisposition, "&lt;&gt;Sustained", OpenedCloseDate, "&gt;="&amp;$B$9, OpenedCloseDate, "&lt;="&amp;$B$10, OpenedStatus, "Closed")</f>
        <v>0</v>
      </c>
      <c r="M40" s="232"/>
      <c r="N40" s="233"/>
      <c r="O40" s="233"/>
      <c r="P40" s="234"/>
    </row>
    <row r="41" spans="1:17" ht="18.75" x14ac:dyDescent="0.3">
      <c r="E41" s="138"/>
      <c r="F41" s="92" t="s">
        <v>692</v>
      </c>
      <c r="G41" s="138">
        <f t="shared" si="7"/>
        <v>0</v>
      </c>
      <c r="I41" s="255" t="s">
        <v>644</v>
      </c>
      <c r="J41" s="256"/>
      <c r="K41" s="106">
        <f>COUNTIFS(PendingStatus, "Closed", PendingCloseDate, "&gt;="&amp;$B$9, PendingCloseDate, "&lt;="&amp;$B$10, PendingLengthOfCase, "&gt;180") + COUNTIFS(OpenedStatus, "Closed", OpenedCloseDate, "&gt;="&amp;$B$9, OpenedCloseDate, "&lt;="&amp;$B$10, OpenedLengthOfCase, "&gt;180")</f>
        <v>0</v>
      </c>
      <c r="M41" s="232"/>
      <c r="N41" s="233"/>
      <c r="O41" s="233"/>
      <c r="P41" s="234"/>
    </row>
    <row r="42" spans="1:17" ht="18.75" customHeight="1" x14ac:dyDescent="0.3">
      <c r="B42" s="67"/>
      <c r="C42" s="67"/>
      <c r="D42" s="67"/>
      <c r="E42" s="139"/>
      <c r="F42" s="91" t="s">
        <v>668</v>
      </c>
      <c r="G42" s="139">
        <f t="shared" si="7"/>
        <v>0</v>
      </c>
      <c r="I42" s="240" t="str">
        <f>"Total Pending  at end of "&amp;$B$8</f>
        <v>Total Pending  at end of Q1</v>
      </c>
      <c r="J42" s="241"/>
      <c r="K42" s="243">
        <f>(SUM(K35:K37))-K38</f>
        <v>3</v>
      </c>
      <c r="M42" s="232"/>
      <c r="N42" s="233"/>
      <c r="O42" s="233"/>
      <c r="P42" s="234"/>
    </row>
    <row r="43" spans="1:17" ht="18.75" x14ac:dyDescent="0.3">
      <c r="E43" s="138"/>
      <c r="F43" s="92" t="s">
        <v>669</v>
      </c>
      <c r="G43" s="138">
        <f t="shared" si="7"/>
        <v>0</v>
      </c>
      <c r="I43" s="240"/>
      <c r="J43" s="241"/>
      <c r="K43" s="243"/>
      <c r="M43" s="232"/>
      <c r="N43" s="233"/>
      <c r="O43" s="233"/>
      <c r="P43" s="234"/>
    </row>
    <row r="44" spans="1:17" ht="19.5" thickBot="1" x14ac:dyDescent="0.35">
      <c r="B44" s="67"/>
      <c r="C44" s="67"/>
      <c r="D44" s="67"/>
      <c r="E44" s="139"/>
      <c r="F44" s="91" t="s">
        <v>670</v>
      </c>
      <c r="G44" s="139">
        <f t="shared" si="7"/>
        <v>0</v>
      </c>
      <c r="I44" s="73"/>
      <c r="J44" s="73"/>
      <c r="K44" s="73"/>
      <c r="M44" s="235"/>
      <c r="N44" s="236"/>
      <c r="O44" s="236"/>
      <c r="P44" s="237"/>
    </row>
    <row r="45" spans="1:17" ht="18.75" x14ac:dyDescent="0.3">
      <c r="B45" s="73"/>
      <c r="C45" s="73"/>
      <c r="D45" s="73"/>
      <c r="E45" s="73"/>
      <c r="F45" s="96" t="s">
        <v>615</v>
      </c>
      <c r="G45" s="97">
        <f>SUM(G35:G44)</f>
        <v>0</v>
      </c>
    </row>
    <row r="48" spans="1:17" x14ac:dyDescent="0.25">
      <c r="A48" s="1"/>
      <c r="K48" s="172" t="s">
        <v>33</v>
      </c>
      <c r="L48" s="172"/>
      <c r="M48" s="184" t="str">
        <f>'Start Here'!C$13</f>
        <v>Wharton Police Department</v>
      </c>
      <c r="N48" s="184"/>
      <c r="O48" s="184"/>
      <c r="P48" s="184"/>
      <c r="Q48" s="184"/>
    </row>
    <row r="49" spans="1:31" x14ac:dyDescent="0.25">
      <c r="A49" s="1"/>
      <c r="K49" s="172" t="s">
        <v>34</v>
      </c>
      <c r="L49" s="172"/>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7" t="str">
        <f>$B$8&amp;": Cases Opened and Closed, All Allegations"</f>
        <v>Q1: Cases Opened and Closed, All Allegations</v>
      </c>
      <c r="B52" s="207"/>
      <c r="C52" s="207"/>
      <c r="D52" s="207"/>
      <c r="E52" s="207"/>
      <c r="F52" s="207"/>
      <c r="G52" s="207"/>
      <c r="H52" s="207"/>
      <c r="I52" s="207"/>
      <c r="J52" s="207"/>
      <c r="K52" s="207"/>
      <c r="L52" s="207"/>
      <c r="M52" s="207"/>
      <c r="N52" s="207"/>
      <c r="O52" s="207"/>
      <c r="P52" s="207"/>
      <c r="Q52" s="207"/>
    </row>
    <row r="53" spans="1:31" ht="14.65" customHeight="1" x14ac:dyDescent="0.25">
      <c r="A53" s="207"/>
      <c r="B53" s="207"/>
      <c r="C53" s="207"/>
      <c r="D53" s="207"/>
      <c r="E53" s="207"/>
      <c r="F53" s="207"/>
      <c r="G53" s="207"/>
      <c r="H53" s="207"/>
      <c r="I53" s="207"/>
      <c r="J53" s="207"/>
      <c r="K53" s="207"/>
      <c r="L53" s="207"/>
      <c r="M53" s="207"/>
      <c r="N53" s="207"/>
      <c r="O53" s="207"/>
      <c r="P53" s="207"/>
      <c r="Q53" s="207"/>
    </row>
    <row r="54" spans="1:31" ht="21" x14ac:dyDescent="0.25">
      <c r="A54" s="183" t="s">
        <v>713</v>
      </c>
      <c r="B54" s="183"/>
      <c r="C54" s="183"/>
      <c r="D54" s="183"/>
      <c r="E54" s="183"/>
      <c r="F54" s="183"/>
      <c r="G54" s="183"/>
      <c r="H54" s="183"/>
      <c r="I54" s="183"/>
      <c r="J54" s="183"/>
      <c r="K54" s="45"/>
      <c r="L54" s="45"/>
      <c r="M54" s="45"/>
      <c r="N54" s="45"/>
      <c r="O54" s="45"/>
      <c r="P54" s="45"/>
      <c r="Q54" s="45"/>
    </row>
    <row r="55" spans="1:31" ht="15.75" thickBot="1" x14ac:dyDescent="0.3">
      <c r="B55" s="175" t="s">
        <v>25</v>
      </c>
      <c r="C55" s="175"/>
      <c r="D55" s="175"/>
      <c r="E55" s="175"/>
      <c r="F55" s="175"/>
      <c r="G55" s="175"/>
      <c r="H55" s="175"/>
      <c r="I55" s="175"/>
      <c r="J55" s="175"/>
      <c r="K55" s="27"/>
      <c r="L55" s="27"/>
      <c r="M55" s="27"/>
      <c r="N55" s="27"/>
      <c r="O55" s="27"/>
    </row>
    <row r="56" spans="1:31" ht="26.25" customHeight="1" x14ac:dyDescent="0.25">
      <c r="B56" s="203" t="s">
        <v>32</v>
      </c>
      <c r="C56" s="203"/>
      <c r="D56" s="203"/>
      <c r="E56" s="205" t="s">
        <v>624</v>
      </c>
      <c r="F56" s="203"/>
      <c r="G56" s="203"/>
      <c r="H56" s="206" t="s">
        <v>646</v>
      </c>
      <c r="I56" s="186"/>
      <c r="J56" s="186"/>
      <c r="K56" s="27"/>
      <c r="L56" s="27"/>
      <c r="N56" s="188" t="s">
        <v>715</v>
      </c>
      <c r="O56" s="189"/>
      <c r="P56" s="190"/>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91"/>
      <c r="O57" s="192"/>
      <c r="P57" s="193"/>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2</v>
      </c>
      <c r="C58" s="29">
        <f t="shared" si="8"/>
        <v>0</v>
      </c>
      <c r="D58" s="29">
        <f t="shared" si="8"/>
        <v>0</v>
      </c>
      <c r="E58" s="35">
        <f t="shared" ref="E58:G66" si="9">COUNTIFS(OpenedMSO, $A58, OpenedComplaintSource, E$57, OpenedComplaintReceived, "&gt;="&amp;$B$9, OpenedComplaintReceived,"&lt;="&amp;$B$10)</f>
        <v>1</v>
      </c>
      <c r="F58" s="29">
        <f t="shared" si="9"/>
        <v>0</v>
      </c>
      <c r="G58" s="29">
        <f t="shared" si="9"/>
        <v>0</v>
      </c>
      <c r="H58" s="147">
        <f t="shared" ref="H58:J66" si="10">IF(E58=0,"",(SUMIFS(OpenedNInitial,OpenedMSO,$A58,OpenedComplaintSource,H$57,OpenedComplaintReceived,"&gt;="&amp;$B$9,OpenedComplaintReceived,"&lt;="&amp;$B$10)/E58))</f>
        <v>1</v>
      </c>
      <c r="I58" s="141" t="str">
        <f t="shared" si="10"/>
        <v/>
      </c>
      <c r="J58" s="141" t="str">
        <f t="shared" si="10"/>
        <v/>
      </c>
      <c r="K58" s="29"/>
      <c r="L58" s="29"/>
      <c r="N58" s="191"/>
      <c r="O58" s="192"/>
      <c r="P58" s="193"/>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91"/>
      <c r="O59" s="192"/>
      <c r="P59" s="193"/>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91"/>
      <c r="O60" s="192"/>
      <c r="P60" s="193"/>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91"/>
      <c r="O61" s="192"/>
      <c r="P61" s="193"/>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91"/>
      <c r="O62" s="192"/>
      <c r="P62" s="193"/>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91"/>
      <c r="O63" s="192"/>
      <c r="P63" s="193"/>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91"/>
      <c r="O64" s="192"/>
      <c r="P64" s="193"/>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91"/>
      <c r="O65" s="192"/>
      <c r="P65" s="193"/>
    </row>
    <row r="66" spans="1:31" ht="15.75" thickBot="1" x14ac:dyDescent="0.3">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94"/>
      <c r="O66" s="195"/>
      <c r="P66" s="196"/>
    </row>
    <row r="67" spans="1:31" x14ac:dyDescent="0.25">
      <c r="A67" s="89" t="s">
        <v>615</v>
      </c>
      <c r="B67" s="43">
        <f>SUM(B58:B66)</f>
        <v>2</v>
      </c>
      <c r="C67" s="43">
        <f t="shared" ref="C67:D67" si="11">SUM(C58:C66)</f>
        <v>0</v>
      </c>
      <c r="D67" s="43">
        <f t="shared" si="11"/>
        <v>0</v>
      </c>
      <c r="E67" s="39">
        <f>SUM(E58:E66)</f>
        <v>1</v>
      </c>
      <c r="F67" s="43">
        <f>SUM(F58:F66)</f>
        <v>0</v>
      </c>
      <c r="G67" s="43">
        <f>SUM(G58:G66)</f>
        <v>0</v>
      </c>
      <c r="H67" s="152">
        <f>IF(E67=0,"",(SUMIFS(OpenedNInitial,OpenedComplaintSource,H$57,OpenedComplaintReceived,"&gt;="&amp;$B$9,OpenedComplaintReceived,"&lt;="&amp;$B$10)/E67))</f>
        <v>1</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83" t="s">
        <v>714</v>
      </c>
      <c r="B70" s="183"/>
      <c r="C70" s="183"/>
      <c r="D70" s="183"/>
      <c r="E70" s="183"/>
      <c r="F70" s="183"/>
      <c r="G70" s="183"/>
      <c r="H70" s="183"/>
      <c r="I70" s="183"/>
      <c r="J70" s="183"/>
      <c r="K70" s="183"/>
      <c r="L70" s="183"/>
      <c r="M70" s="183"/>
      <c r="N70" s="183"/>
      <c r="O70" s="183"/>
      <c r="P70" s="183"/>
      <c r="Q70" s="183"/>
    </row>
    <row r="71" spans="1:31" x14ac:dyDescent="0.25">
      <c r="B71" s="185" t="s">
        <v>634</v>
      </c>
      <c r="C71" s="175"/>
      <c r="D71" s="176"/>
      <c r="E71" s="185" t="s">
        <v>25</v>
      </c>
      <c r="F71" s="175"/>
      <c r="G71" s="176"/>
      <c r="H71" s="185" t="s">
        <v>614</v>
      </c>
      <c r="I71" s="175"/>
      <c r="J71" s="175"/>
      <c r="K71" s="176"/>
      <c r="L71" s="185" t="s">
        <v>605</v>
      </c>
      <c r="M71" s="175"/>
      <c r="N71" s="175"/>
      <c r="O71" s="175"/>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7" t="str">
        <f>$B$8&amp;": Cases Closed, All Allegations"</f>
        <v>Q1: Cases Closed, All Allegations</v>
      </c>
      <c r="B86" s="207"/>
      <c r="C86" s="207"/>
      <c r="D86" s="207"/>
      <c r="E86" s="207"/>
      <c r="F86" s="207"/>
      <c r="G86" s="207"/>
      <c r="H86" s="207"/>
      <c r="I86" s="207"/>
      <c r="J86" s="207"/>
      <c r="K86" s="207"/>
      <c r="L86" s="207"/>
      <c r="M86" s="207"/>
      <c r="N86" s="207"/>
      <c r="O86" s="207"/>
      <c r="P86" s="207"/>
      <c r="Q86" s="207"/>
      <c r="R86" s="84"/>
      <c r="S86" s="84"/>
      <c r="T86" s="84"/>
    </row>
    <row r="87" spans="1:20" ht="14.65" customHeight="1" x14ac:dyDescent="0.35">
      <c r="A87" s="207"/>
      <c r="B87" s="207"/>
      <c r="C87" s="207"/>
      <c r="D87" s="207"/>
      <c r="E87" s="207"/>
      <c r="F87" s="207"/>
      <c r="G87" s="207"/>
      <c r="H87" s="207"/>
      <c r="I87" s="207"/>
      <c r="J87" s="207"/>
      <c r="K87" s="207"/>
      <c r="L87" s="207"/>
      <c r="M87" s="207"/>
      <c r="N87" s="207"/>
      <c r="O87" s="207"/>
      <c r="P87" s="207"/>
      <c r="Q87" s="207"/>
      <c r="R87" s="84"/>
      <c r="S87" s="84"/>
      <c r="T87" s="84"/>
    </row>
    <row r="88" spans="1:20" ht="14.25" customHeight="1" x14ac:dyDescent="0.25">
      <c r="A88" s="183" t="s">
        <v>616</v>
      </c>
      <c r="B88" s="183"/>
      <c r="C88" s="183"/>
      <c r="D88" s="183"/>
      <c r="E88" s="183"/>
      <c r="F88" s="183"/>
      <c r="G88" s="183"/>
      <c r="H88" s="183"/>
      <c r="I88" s="183"/>
      <c r="J88" s="183"/>
      <c r="K88" s="183"/>
      <c r="L88" s="183"/>
      <c r="M88" s="183"/>
      <c r="N88" s="172" t="s">
        <v>33</v>
      </c>
      <c r="O88" s="172"/>
      <c r="P88" s="184" t="str">
        <f>'Start Here'!C$13</f>
        <v>Wharton Police Department</v>
      </c>
      <c r="Q88" s="184"/>
    </row>
    <row r="89" spans="1:20" ht="14.65" customHeight="1" x14ac:dyDescent="0.25">
      <c r="A89" s="183"/>
      <c r="B89" s="183"/>
      <c r="C89" s="183"/>
      <c r="D89" s="183"/>
      <c r="E89" s="183"/>
      <c r="F89" s="183"/>
      <c r="G89" s="183"/>
      <c r="H89" s="183"/>
      <c r="I89" s="183"/>
      <c r="J89" s="183"/>
      <c r="K89" s="183"/>
      <c r="L89" s="183"/>
      <c r="M89" s="183"/>
      <c r="N89" s="172" t="s">
        <v>34</v>
      </c>
      <c r="O89" s="172"/>
      <c r="P89" s="12">
        <f>'Start Here'!$C$16</f>
        <v>2023</v>
      </c>
    </row>
    <row r="90" spans="1:20" ht="15" customHeight="1" x14ac:dyDescent="0.25">
      <c r="A90" s="192" t="s">
        <v>712</v>
      </c>
      <c r="B90" s="192" t="s">
        <v>617</v>
      </c>
      <c r="C90" s="221"/>
      <c r="D90" s="185" t="s">
        <v>734</v>
      </c>
      <c r="E90" s="175"/>
      <c r="F90" s="175"/>
      <c r="G90" s="175"/>
      <c r="H90" s="175"/>
      <c r="I90" s="175"/>
      <c r="J90" s="175"/>
      <c r="K90" s="175"/>
      <c r="L90" s="176"/>
      <c r="M90" s="192" t="s">
        <v>618</v>
      </c>
    </row>
    <row r="91" spans="1:20" ht="51.75" customHeight="1" x14ac:dyDescent="0.25">
      <c r="A91" s="220"/>
      <c r="B91" s="220"/>
      <c r="C91" s="222"/>
      <c r="D91" s="51" t="s">
        <v>11</v>
      </c>
      <c r="E91" s="51" t="s">
        <v>10</v>
      </c>
      <c r="F91" s="51" t="s">
        <v>9</v>
      </c>
      <c r="G91" s="51" t="s">
        <v>8</v>
      </c>
      <c r="H91" s="51" t="s">
        <v>718</v>
      </c>
      <c r="I91" s="51" t="s">
        <v>6</v>
      </c>
      <c r="J91" s="51" t="s">
        <v>5</v>
      </c>
      <c r="K91" s="51" t="s">
        <v>4</v>
      </c>
      <c r="L91" s="54" t="s">
        <v>711</v>
      </c>
      <c r="M91" s="220"/>
      <c r="R91" s="7"/>
    </row>
    <row r="92" spans="1:20" ht="15" customHeight="1" x14ac:dyDescent="0.25">
      <c r="A92" s="59" t="s">
        <v>658</v>
      </c>
      <c r="B92" s="218">
        <f t="shared" ref="B92:B100" si="20">COUNTIFS(PendingMSO, $A92, PendingCloseDate, "&gt;="&amp;$B$9, PendingCloseDate, "&lt;="&amp;$B$10, PendingStatus, "Closed")+COUNTIFS(OpenedMSO, $A92, OpenedCloseDate, "&gt;="&amp;$B$9, OpenedCloseDate,"&lt;="&amp;$B$10, OpenedStatus, "Closed")</f>
        <v>0</v>
      </c>
      <c r="C92" s="219"/>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5">
        <f t="shared" si="20"/>
        <v>0</v>
      </c>
      <c r="C93" s="216"/>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203">
        <f t="shared" si="20"/>
        <v>0</v>
      </c>
      <c r="C94" s="204"/>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5">
        <f t="shared" si="20"/>
        <v>0</v>
      </c>
      <c r="C95" s="216"/>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203">
        <f t="shared" si="20"/>
        <v>0</v>
      </c>
      <c r="C96" s="204"/>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5">
        <f t="shared" si="20"/>
        <v>0</v>
      </c>
      <c r="C97" s="216"/>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203">
        <f t="shared" si="20"/>
        <v>0</v>
      </c>
      <c r="C98" s="204"/>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5">
        <f t="shared" si="20"/>
        <v>0</v>
      </c>
      <c r="C99" s="216"/>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201">
        <f t="shared" si="20"/>
        <v>0</v>
      </c>
      <c r="C100" s="202"/>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5">
        <f>SUM(B92:C100)</f>
        <v>0</v>
      </c>
      <c r="C101" s="215"/>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7" t="s">
        <v>716</v>
      </c>
      <c r="B102" s="217"/>
      <c r="C102" s="217"/>
      <c r="D102" s="217"/>
      <c r="E102" s="217"/>
      <c r="F102" s="217"/>
      <c r="G102" s="217"/>
      <c r="H102" s="217"/>
      <c r="I102" s="217"/>
      <c r="J102" s="217"/>
      <c r="K102" s="217"/>
      <c r="L102" s="217"/>
      <c r="M102" s="217"/>
      <c r="N102" s="217"/>
      <c r="O102" s="217"/>
      <c r="P102" s="217"/>
      <c r="Q102" s="217"/>
    </row>
    <row r="103" spans="1:19" x14ac:dyDescent="0.25">
      <c r="A103" s="217" t="s">
        <v>717</v>
      </c>
      <c r="B103" s="217"/>
      <c r="C103" s="217"/>
      <c r="D103" s="217"/>
      <c r="E103" s="217"/>
      <c r="F103" s="217"/>
      <c r="G103" s="217"/>
      <c r="H103" s="217"/>
      <c r="I103" s="217"/>
      <c r="J103" s="217"/>
      <c r="K103" s="217"/>
      <c r="L103" s="217"/>
      <c r="M103" s="217"/>
      <c r="N103" s="217"/>
      <c r="O103" s="217"/>
      <c r="P103" s="217"/>
      <c r="Q103" s="217"/>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8" t="s">
        <v>645</v>
      </c>
      <c r="C106" s="208"/>
      <c r="D106" s="208"/>
      <c r="E106" s="209" t="s">
        <v>635</v>
      </c>
      <c r="F106" s="208"/>
      <c r="G106" s="208"/>
      <c r="H106" s="209" t="s">
        <v>631</v>
      </c>
      <c r="I106" s="208"/>
      <c r="J106" s="210"/>
      <c r="K106" s="197" t="s">
        <v>729</v>
      </c>
      <c r="L106" s="197"/>
    </row>
    <row r="107" spans="1:19" ht="30.75" customHeight="1" x14ac:dyDescent="0.25">
      <c r="B107" s="211" t="s">
        <v>25</v>
      </c>
      <c r="C107" s="212"/>
      <c r="D107" s="212"/>
      <c r="E107" s="211" t="s">
        <v>25</v>
      </c>
      <c r="F107" s="212"/>
      <c r="G107" s="212"/>
      <c r="H107" s="49"/>
      <c r="I107" s="132" t="s">
        <v>25</v>
      </c>
      <c r="J107" s="130"/>
      <c r="K107" s="213" t="s">
        <v>637</v>
      </c>
      <c r="L107" s="214"/>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7" t="str">
        <f>$B$8&amp;": Cases Opened and Closed, Alleged Other Rule Violations"</f>
        <v>Q1: Cases Opened and Closed, Alleged Other Rule Violations</v>
      </c>
      <c r="B120" s="207"/>
      <c r="C120" s="207"/>
      <c r="D120" s="207"/>
      <c r="E120" s="207"/>
      <c r="F120" s="207"/>
      <c r="G120" s="207"/>
      <c r="H120" s="207"/>
      <c r="I120" s="207"/>
      <c r="J120" s="207"/>
      <c r="K120" s="207"/>
      <c r="L120" s="207"/>
      <c r="M120" s="207"/>
      <c r="N120" s="207"/>
      <c r="O120" s="207"/>
      <c r="P120" s="207"/>
      <c r="Q120" s="207"/>
    </row>
    <row r="121" spans="1:17" x14ac:dyDescent="0.25">
      <c r="A121" s="207"/>
      <c r="B121" s="207"/>
      <c r="C121" s="207"/>
      <c r="D121" s="207"/>
      <c r="E121" s="207"/>
      <c r="F121" s="207"/>
      <c r="G121" s="207"/>
      <c r="H121" s="207"/>
      <c r="I121" s="207"/>
      <c r="J121" s="207"/>
      <c r="K121" s="207"/>
      <c r="L121" s="207"/>
      <c r="M121" s="207"/>
      <c r="N121" s="207"/>
      <c r="O121" s="207"/>
      <c r="P121" s="207"/>
      <c r="Q121" s="207"/>
    </row>
    <row r="122" spans="1:17" ht="21" x14ac:dyDescent="0.25">
      <c r="A122" s="183" t="s">
        <v>719</v>
      </c>
      <c r="B122" s="183"/>
      <c r="C122" s="183"/>
      <c r="D122" s="183"/>
      <c r="E122" s="183"/>
      <c r="F122" s="183"/>
      <c r="G122" s="183"/>
      <c r="H122" s="183"/>
      <c r="I122" s="183"/>
      <c r="J122" s="183"/>
      <c r="K122" s="183"/>
      <c r="L122" s="183"/>
      <c r="M122" s="172" t="s">
        <v>33</v>
      </c>
      <c r="N122" s="172"/>
      <c r="O122" s="184" t="str">
        <f>'Start Here'!C$13</f>
        <v>Wharton Police Department</v>
      </c>
      <c r="P122" s="184"/>
      <c r="Q122" s="184"/>
    </row>
    <row r="123" spans="1:17" x14ac:dyDescent="0.25">
      <c r="D123" s="175" t="s">
        <v>25</v>
      </c>
      <c r="E123" s="175"/>
      <c r="F123" s="175"/>
      <c r="G123" s="175"/>
      <c r="H123" s="175"/>
      <c r="I123" s="175"/>
      <c r="J123" s="175"/>
      <c r="K123" s="175"/>
      <c r="L123" s="175"/>
      <c r="M123" s="172" t="s">
        <v>34</v>
      </c>
      <c r="N123" s="172"/>
      <c r="O123" s="12">
        <f>'Start Here'!$C$16</f>
        <v>2023</v>
      </c>
    </row>
    <row r="124" spans="1:17" x14ac:dyDescent="0.25">
      <c r="C124" s="65"/>
      <c r="D124" s="203" t="s">
        <v>32</v>
      </c>
      <c r="E124" s="203"/>
      <c r="F124" s="203"/>
      <c r="G124" s="205" t="s">
        <v>624</v>
      </c>
      <c r="H124" s="203"/>
      <c r="I124" s="203"/>
      <c r="J124" s="206" t="s">
        <v>646</v>
      </c>
      <c r="K124" s="186"/>
      <c r="L124" s="186"/>
    </row>
    <row r="125" spans="1:17" ht="16.5" customHeight="1" x14ac:dyDescent="0.25">
      <c r="A125" s="201" t="s">
        <v>736</v>
      </c>
      <c r="B125" s="201"/>
      <c r="C125" s="202"/>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8" t="s">
        <v>720</v>
      </c>
      <c r="O127" s="189"/>
      <c r="P127" s="190"/>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91"/>
      <c r="O128" s="192"/>
      <c r="P128" s="193"/>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91"/>
      <c r="O129" s="192"/>
      <c r="P129" s="193"/>
    </row>
    <row r="130" spans="1:23" x14ac:dyDescent="0.25">
      <c r="A130" s="1" t="s">
        <v>660</v>
      </c>
      <c r="C130" s="65"/>
      <c r="D130" s="29">
        <f t="shared" si="31"/>
        <v>0</v>
      </c>
      <c r="E130" s="29">
        <f t="shared" si="31"/>
        <v>0</v>
      </c>
      <c r="F130" s="50">
        <f t="shared" si="31"/>
        <v>0</v>
      </c>
      <c r="G130" s="29">
        <f t="shared" si="32"/>
        <v>1</v>
      </c>
      <c r="H130" s="29">
        <f t="shared" si="32"/>
        <v>0</v>
      </c>
      <c r="I130" s="50">
        <f t="shared" si="32"/>
        <v>0</v>
      </c>
      <c r="J130" s="29">
        <f t="shared" si="33"/>
        <v>1</v>
      </c>
      <c r="K130" s="29" t="str">
        <f t="shared" si="33"/>
        <v/>
      </c>
      <c r="L130" s="29" t="str">
        <f t="shared" si="33"/>
        <v/>
      </c>
      <c r="N130" s="191"/>
      <c r="O130" s="192"/>
      <c r="P130" s="193"/>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91"/>
      <c r="O131" s="192"/>
      <c r="P131" s="193"/>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91"/>
      <c r="O132" s="192"/>
      <c r="P132" s="193"/>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91"/>
      <c r="O133" s="192"/>
      <c r="P133" s="193"/>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91"/>
      <c r="O134" s="192"/>
      <c r="P134" s="193"/>
    </row>
    <row r="135" spans="1:23" ht="15.75" thickBot="1" x14ac:dyDescent="0.3">
      <c r="A135" s="2" t="s">
        <v>675</v>
      </c>
      <c r="B135" s="67"/>
      <c r="C135" s="71"/>
      <c r="D135" s="30">
        <f t="shared" si="31"/>
        <v>0</v>
      </c>
      <c r="E135" s="30">
        <f t="shared" si="31"/>
        <v>0</v>
      </c>
      <c r="F135" s="31">
        <f t="shared" si="31"/>
        <v>0</v>
      </c>
      <c r="G135" s="30">
        <f t="shared" si="32"/>
        <v>0</v>
      </c>
      <c r="H135" s="30">
        <f t="shared" si="32"/>
        <v>0</v>
      </c>
      <c r="I135" s="31">
        <f t="shared" si="32"/>
        <v>0</v>
      </c>
      <c r="J135" s="67" t="str">
        <f t="shared" si="33"/>
        <v/>
      </c>
      <c r="K135" s="67" t="str">
        <f t="shared" si="33"/>
        <v/>
      </c>
      <c r="L135" s="67" t="str">
        <f t="shared" si="33"/>
        <v/>
      </c>
      <c r="N135" s="194"/>
      <c r="O135" s="195"/>
      <c r="P135" s="196"/>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1</v>
      </c>
      <c r="I141" s="68">
        <f t="shared" si="32"/>
        <v>0</v>
      </c>
      <c r="J141" s="67" t="str">
        <f t="shared" si="33"/>
        <v/>
      </c>
      <c r="K141" s="67">
        <f t="shared" si="33"/>
        <v>0</v>
      </c>
      <c r="L141" s="67" t="str">
        <f t="shared" si="33"/>
        <v/>
      </c>
    </row>
    <row r="142" spans="1:23" x14ac:dyDescent="0.25">
      <c r="D142" s="70">
        <f t="shared" ref="D142" si="34">SUM(D126:D141)</f>
        <v>1</v>
      </c>
      <c r="E142" s="69">
        <f>SUM(E126:E141)</f>
        <v>0</v>
      </c>
      <c r="F142" s="69">
        <f>SUM(F126:F141)</f>
        <v>0</v>
      </c>
      <c r="G142" s="70">
        <f t="shared" ref="G142:H142" si="35">SUM(G126:G141)</f>
        <v>1</v>
      </c>
      <c r="H142" s="69">
        <f t="shared" si="35"/>
        <v>1</v>
      </c>
      <c r="I142" s="69">
        <f>SUM(I126:I141)</f>
        <v>0</v>
      </c>
      <c r="J142" s="70">
        <f>IF(G142=0,"",(SUMIFS(OpenedNInitial,OpenedComplaintSource,H$57,OpenedComplaintReceived,"&gt;="&amp;$B$9,OpenedComplaintReceived,"&lt;="&amp;$B$10)/G142))</f>
        <v>1</v>
      </c>
      <c r="K142" s="69">
        <f>IF(H142=0,"",(SUMIFS(OpenedNInitial,OpenedComplaintSource,I$57,OpenedComplaintReceived,"&gt;="&amp;$B$9,OpenedComplaintReceived,"&lt;="&amp;$B$10)/H142))</f>
        <v>0</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83" t="s">
        <v>693</v>
      </c>
      <c r="B144" s="183"/>
      <c r="C144" s="183"/>
      <c r="D144" s="183"/>
      <c r="E144" s="183"/>
      <c r="F144" s="183"/>
      <c r="G144" s="183"/>
      <c r="H144" s="183"/>
      <c r="I144" s="183"/>
      <c r="J144" s="183"/>
      <c r="K144" s="183"/>
      <c r="L144" s="183"/>
      <c r="M144" s="183"/>
      <c r="N144" s="183"/>
      <c r="O144" s="183"/>
      <c r="P144" s="183"/>
      <c r="Q144" s="183"/>
    </row>
    <row r="145" spans="1:17" x14ac:dyDescent="0.25">
      <c r="D145" s="185" t="s">
        <v>634</v>
      </c>
      <c r="E145" s="175"/>
      <c r="F145" s="176"/>
      <c r="G145" s="185" t="s">
        <v>25</v>
      </c>
      <c r="H145" s="175"/>
      <c r="I145" s="176"/>
      <c r="J145" s="185" t="s">
        <v>614</v>
      </c>
      <c r="K145" s="175"/>
      <c r="L145" s="175"/>
      <c r="M145" s="176"/>
      <c r="N145" s="185" t="s">
        <v>605</v>
      </c>
      <c r="O145" s="175"/>
      <c r="P145" s="175"/>
      <c r="Q145" s="175"/>
    </row>
    <row r="146" spans="1:17" ht="45" x14ac:dyDescent="0.25">
      <c r="A146" s="201" t="s">
        <v>736</v>
      </c>
      <c r="B146" s="201"/>
      <c r="C146" s="202"/>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82" t="str">
        <f>$B$8&amp;": Cases Closed, Alleged Other Rule Violations"</f>
        <v>Q1: Cases Closed, Alleged Other Rule Violations</v>
      </c>
      <c r="B165" s="182"/>
      <c r="C165" s="182"/>
      <c r="D165" s="182"/>
      <c r="E165" s="182"/>
      <c r="F165" s="182"/>
      <c r="G165" s="182"/>
      <c r="H165" s="182"/>
      <c r="I165" s="182"/>
      <c r="J165" s="182"/>
      <c r="K165" s="182"/>
      <c r="L165" s="182"/>
      <c r="M165" s="182"/>
      <c r="N165" s="182"/>
      <c r="O165" s="182"/>
      <c r="P165" s="182"/>
      <c r="Q165" s="182"/>
    </row>
    <row r="166" spans="1:17" x14ac:dyDescent="0.25">
      <c r="A166" s="182"/>
      <c r="B166" s="182"/>
      <c r="C166" s="182"/>
      <c r="D166" s="182"/>
      <c r="E166" s="182"/>
      <c r="F166" s="182"/>
      <c r="G166" s="182"/>
      <c r="H166" s="182"/>
      <c r="I166" s="182"/>
      <c r="J166" s="182"/>
      <c r="K166" s="182"/>
      <c r="L166" s="182"/>
      <c r="M166" s="182"/>
      <c r="N166" s="182"/>
      <c r="O166" s="182"/>
      <c r="P166" s="182"/>
      <c r="Q166" s="182"/>
    </row>
    <row r="167" spans="1:17" ht="21" customHeight="1" x14ac:dyDescent="0.25">
      <c r="A167" s="183" t="s">
        <v>737</v>
      </c>
      <c r="B167" s="183"/>
      <c r="C167" s="183"/>
      <c r="D167" s="183"/>
      <c r="E167" s="183"/>
      <c r="F167" s="183"/>
      <c r="G167" s="183"/>
      <c r="H167" s="183"/>
      <c r="I167" s="183"/>
      <c r="J167" s="183"/>
      <c r="K167" s="183"/>
      <c r="L167" s="183"/>
      <c r="M167" s="172" t="s">
        <v>33</v>
      </c>
      <c r="N167" s="172"/>
      <c r="O167" s="184" t="str">
        <f>'Start Here'!C$13</f>
        <v>Wharton Police Department</v>
      </c>
      <c r="P167" s="184"/>
      <c r="Q167" s="184"/>
    </row>
    <row r="168" spans="1:17" ht="36" customHeight="1" x14ac:dyDescent="0.25">
      <c r="C168" s="65"/>
      <c r="D168" s="200" t="s">
        <v>645</v>
      </c>
      <c r="E168" s="200"/>
      <c r="F168" s="199"/>
      <c r="G168" s="198" t="s">
        <v>635</v>
      </c>
      <c r="H168" s="200"/>
      <c r="I168" s="199"/>
      <c r="J168" s="198" t="s">
        <v>631</v>
      </c>
      <c r="K168" s="200"/>
      <c r="L168" s="200"/>
      <c r="M168" s="172" t="s">
        <v>34</v>
      </c>
      <c r="N168" s="172"/>
      <c r="O168" s="12">
        <f>'Start Here'!$C$16</f>
        <v>2023</v>
      </c>
    </row>
    <row r="169" spans="1:17" x14ac:dyDescent="0.25">
      <c r="D169" s="185" t="s">
        <v>25</v>
      </c>
      <c r="E169" s="175"/>
      <c r="F169" s="176"/>
      <c r="G169" s="185" t="s">
        <v>25</v>
      </c>
      <c r="H169" s="175"/>
      <c r="I169" s="176"/>
      <c r="J169" s="185" t="s">
        <v>25</v>
      </c>
      <c r="K169" s="175"/>
      <c r="L169" s="175"/>
    </row>
    <row r="170" spans="1:17" ht="15.75" customHeight="1" x14ac:dyDescent="0.25">
      <c r="A170" s="186" t="s">
        <v>733</v>
      </c>
      <c r="B170" s="186"/>
      <c r="C170" s="187"/>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8" t="s">
        <v>724</v>
      </c>
      <c r="O172" s="189"/>
      <c r="P172" s="190"/>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91"/>
      <c r="O173" s="192"/>
      <c r="P173" s="193"/>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91"/>
      <c r="O174" s="192"/>
      <c r="P174" s="193"/>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91"/>
      <c r="O175" s="192"/>
      <c r="P175" s="193"/>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91"/>
      <c r="O176" s="192"/>
      <c r="P176" s="193"/>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91"/>
      <c r="O177" s="192"/>
      <c r="P177" s="193"/>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91"/>
      <c r="O178" s="192"/>
      <c r="P178" s="193"/>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91"/>
      <c r="O179" s="192"/>
      <c r="P179" s="193"/>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91"/>
      <c r="O180" s="192"/>
      <c r="P180" s="193"/>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91"/>
      <c r="O181" s="192"/>
      <c r="P181" s="193"/>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91"/>
      <c r="O182" s="192"/>
      <c r="P182" s="193"/>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91"/>
      <c r="O183" s="192"/>
      <c r="P183" s="193"/>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91"/>
      <c r="O184" s="192"/>
      <c r="P184" s="193"/>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91"/>
      <c r="O185" s="192"/>
      <c r="P185" s="193"/>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94"/>
      <c r="O186" s="195"/>
      <c r="P186" s="196"/>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7" t="s">
        <v>721</v>
      </c>
      <c r="B189" s="197"/>
      <c r="C189" s="197"/>
      <c r="D189" s="197"/>
      <c r="E189" s="197"/>
      <c r="F189" s="197"/>
      <c r="G189" s="197"/>
      <c r="H189" s="197"/>
      <c r="I189" s="197"/>
      <c r="J189" s="197"/>
      <c r="K189" s="197"/>
      <c r="L189" s="197"/>
      <c r="M189" s="140"/>
      <c r="N189" s="140"/>
      <c r="O189" s="140"/>
      <c r="Q189" s="98"/>
    </row>
    <row r="190" spans="1:17" ht="40.5" customHeight="1" x14ac:dyDescent="0.25">
      <c r="A190" s="140"/>
      <c r="B190" s="140"/>
      <c r="C190" s="105"/>
      <c r="D190" s="200" t="s">
        <v>722</v>
      </c>
      <c r="E190" s="199"/>
      <c r="F190" s="200" t="s">
        <v>732</v>
      </c>
      <c r="G190" s="200"/>
      <c r="H190" s="140"/>
      <c r="I190" s="140"/>
      <c r="J190" s="140"/>
      <c r="K190" s="140"/>
      <c r="L190" s="140"/>
      <c r="M190" s="140"/>
      <c r="N190" s="140"/>
      <c r="O190" s="140"/>
      <c r="Q190" s="98"/>
    </row>
    <row r="191" spans="1:17" ht="33" customHeight="1" x14ac:dyDescent="0.25">
      <c r="D191" s="177" t="s">
        <v>723</v>
      </c>
      <c r="E191" s="178"/>
      <c r="F191" s="177" t="s">
        <v>723</v>
      </c>
      <c r="G191" s="179"/>
      <c r="H191" s="101"/>
      <c r="Q191" s="98"/>
    </row>
    <row r="192" spans="1:17" ht="45" customHeight="1" x14ac:dyDescent="0.25">
      <c r="A192" s="180" t="s">
        <v>725</v>
      </c>
      <c r="B192" s="180"/>
      <c r="C192" s="181"/>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82" t="str">
        <f>$B$8&amp;": Cases Opened and Closed, Alleged Criminal Violations"</f>
        <v>Q1: Cases Opened and Closed, Alleged Criminal Violations</v>
      </c>
      <c r="B210" s="182"/>
      <c r="C210" s="182"/>
      <c r="D210" s="182"/>
      <c r="E210" s="182"/>
      <c r="F210" s="182"/>
      <c r="G210" s="182"/>
      <c r="H210" s="182"/>
      <c r="I210" s="182"/>
      <c r="J210" s="182"/>
      <c r="K210" s="182"/>
      <c r="L210" s="182"/>
      <c r="M210" s="182"/>
      <c r="N210" s="182"/>
      <c r="O210" s="182"/>
      <c r="P210" s="182"/>
      <c r="Q210" s="182"/>
    </row>
    <row r="211" spans="1:17" x14ac:dyDescent="0.25">
      <c r="A211" s="182"/>
      <c r="B211" s="182"/>
      <c r="C211" s="182"/>
      <c r="D211" s="182"/>
      <c r="E211" s="182"/>
      <c r="F211" s="182"/>
      <c r="G211" s="182"/>
      <c r="H211" s="182"/>
      <c r="I211" s="182"/>
      <c r="J211" s="182"/>
      <c r="K211" s="182"/>
      <c r="L211" s="182"/>
      <c r="M211" s="182"/>
      <c r="N211" s="182"/>
      <c r="O211" s="182"/>
      <c r="P211" s="182"/>
      <c r="Q211" s="182"/>
    </row>
    <row r="212" spans="1:17" ht="21" x14ac:dyDescent="0.25">
      <c r="A212" s="183" t="s">
        <v>694</v>
      </c>
      <c r="B212" s="183"/>
      <c r="C212" s="183"/>
      <c r="D212" s="183"/>
      <c r="E212" s="183"/>
      <c r="F212" s="183"/>
      <c r="G212" s="183"/>
      <c r="H212" s="183"/>
      <c r="I212" s="183"/>
      <c r="J212" s="183"/>
      <c r="K212" s="183"/>
      <c r="L212" s="183"/>
      <c r="M212" s="183"/>
      <c r="N212" s="183"/>
      <c r="O212" s="183"/>
      <c r="P212" s="183"/>
      <c r="Q212" s="183"/>
    </row>
    <row r="213" spans="1:17" x14ac:dyDescent="0.25">
      <c r="D213" s="175" t="s">
        <v>25</v>
      </c>
      <c r="E213" s="175"/>
      <c r="F213" s="175"/>
      <c r="G213" s="175"/>
      <c r="H213" s="175"/>
      <c r="I213" s="175"/>
      <c r="J213" s="175"/>
      <c r="K213" s="175"/>
      <c r="L213" s="175"/>
      <c r="M213" s="172" t="s">
        <v>33</v>
      </c>
      <c r="N213" s="172"/>
      <c r="O213" s="184" t="str">
        <f>'Start Here'!C$13</f>
        <v>Wharton Police Department</v>
      </c>
      <c r="P213" s="184"/>
      <c r="Q213" s="184"/>
    </row>
    <row r="214" spans="1:17" ht="15" customHeight="1" x14ac:dyDescent="0.25">
      <c r="C214" s="203" t="s">
        <v>32</v>
      </c>
      <c r="D214" s="203"/>
      <c r="E214" s="204"/>
      <c r="F214" s="205" t="s">
        <v>624</v>
      </c>
      <c r="G214" s="203"/>
      <c r="H214" s="204"/>
      <c r="I214" s="206" t="s">
        <v>646</v>
      </c>
      <c r="J214" s="186"/>
      <c r="K214" s="186"/>
      <c r="M214" s="172" t="s">
        <v>34</v>
      </c>
      <c r="N214" s="172"/>
      <c r="O214" s="12">
        <f>'Start Here'!$C$16</f>
        <v>2023</v>
      </c>
    </row>
    <row r="215" spans="1:17" ht="16.5" customHeight="1" x14ac:dyDescent="0.25">
      <c r="A215" s="201" t="s">
        <v>738</v>
      </c>
      <c r="B215" s="201"/>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8" t="s">
        <v>726</v>
      </c>
      <c r="O217" s="189"/>
      <c r="P217" s="190"/>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91"/>
      <c r="O218" s="192"/>
      <c r="P218" s="193"/>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91"/>
      <c r="O219" s="192"/>
      <c r="P219" s="193"/>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91"/>
      <c r="O220" s="192"/>
      <c r="P220" s="193"/>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91"/>
      <c r="O221" s="192"/>
      <c r="P221" s="193"/>
    </row>
    <row r="222" spans="1:17" x14ac:dyDescent="0.25">
      <c r="A222" s="1" t="s">
        <v>686</v>
      </c>
      <c r="B222" s="66"/>
      <c r="C222" s="29">
        <f t="shared" si="53"/>
        <v>2</v>
      </c>
      <c r="D222" s="29">
        <f t="shared" si="53"/>
        <v>0</v>
      </c>
      <c r="E222" s="50">
        <f t="shared" si="53"/>
        <v>0</v>
      </c>
      <c r="F222" s="29">
        <f t="shared" si="54"/>
        <v>1</v>
      </c>
      <c r="G222" s="29">
        <f t="shared" si="54"/>
        <v>0</v>
      </c>
      <c r="H222" s="50">
        <f t="shared" si="54"/>
        <v>0</v>
      </c>
      <c r="I222" s="141">
        <f t="shared" si="55"/>
        <v>1</v>
      </c>
      <c r="J222" s="141" t="str">
        <f t="shared" si="55"/>
        <v/>
      </c>
      <c r="K222" s="141" t="str">
        <f t="shared" si="55"/>
        <v/>
      </c>
      <c r="N222" s="191"/>
      <c r="O222" s="192"/>
      <c r="P222" s="193"/>
    </row>
    <row r="223" spans="1:17" ht="15.75" thickBot="1" x14ac:dyDescent="0.3">
      <c r="A223" s="73"/>
      <c r="B223" s="73"/>
      <c r="C223" s="70">
        <f t="shared" ref="C223:H223" si="56">SUM(C216:C222)</f>
        <v>2</v>
      </c>
      <c r="D223" s="69">
        <f t="shared" si="56"/>
        <v>0</v>
      </c>
      <c r="E223" s="69">
        <f t="shared" si="56"/>
        <v>0</v>
      </c>
      <c r="F223" s="70">
        <f t="shared" si="56"/>
        <v>1</v>
      </c>
      <c r="G223" s="69">
        <f t="shared" si="56"/>
        <v>0</v>
      </c>
      <c r="H223" s="69">
        <f t="shared" si="56"/>
        <v>0</v>
      </c>
      <c r="I223" s="158">
        <f>IF(F223=0,"",(SUMIFS(OpenedNInitial,OpenedComplaintSource,H$57,OpenedComplaintReceived,"&gt;="&amp;$B$9,OpenedComplaintReceived,"&lt;="&amp;$B$10)/F223))</f>
        <v>1</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94"/>
      <c r="O223" s="195"/>
      <c r="P223" s="196"/>
    </row>
    <row r="224" spans="1:17" x14ac:dyDescent="0.25">
      <c r="O224" s="98"/>
      <c r="P224" s="98"/>
      <c r="Q224" s="98"/>
    </row>
    <row r="225" spans="1:17" ht="21" x14ac:dyDescent="0.25">
      <c r="A225" s="183" t="s">
        <v>695</v>
      </c>
      <c r="B225" s="183"/>
      <c r="C225" s="183"/>
      <c r="D225" s="183"/>
      <c r="E225" s="183"/>
      <c r="F225" s="183"/>
      <c r="G225" s="183"/>
      <c r="H225" s="183"/>
      <c r="I225" s="183"/>
      <c r="J225" s="183"/>
      <c r="K225" s="183"/>
      <c r="L225" s="183"/>
      <c r="M225" s="183"/>
      <c r="N225" s="183"/>
      <c r="O225" s="183"/>
      <c r="P225" s="183"/>
      <c r="Q225" s="183"/>
    </row>
    <row r="226" spans="1:17" x14ac:dyDescent="0.25">
      <c r="C226" s="185" t="s">
        <v>634</v>
      </c>
      <c r="D226" s="175"/>
      <c r="E226" s="176"/>
      <c r="F226" s="185" t="s">
        <v>25</v>
      </c>
      <c r="G226" s="175"/>
      <c r="H226" s="176"/>
      <c r="I226" s="185" t="s">
        <v>614</v>
      </c>
      <c r="J226" s="175"/>
      <c r="K226" s="175"/>
      <c r="L226" s="176"/>
      <c r="M226" s="185" t="s">
        <v>605</v>
      </c>
      <c r="N226" s="175"/>
      <c r="O226" s="175"/>
      <c r="P226" s="175"/>
    </row>
    <row r="227" spans="1:17" ht="32.25" customHeight="1" x14ac:dyDescent="0.25">
      <c r="A227" s="201" t="s">
        <v>738</v>
      </c>
      <c r="B227" s="202"/>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82" t="str">
        <f>$B$8&amp;": Cases Closed, Alleged Criminal Violations"</f>
        <v>Q1: Cases Closed, Alleged Criminal Violations</v>
      </c>
      <c r="B237" s="182"/>
      <c r="C237" s="182"/>
      <c r="D237" s="182"/>
      <c r="E237" s="182"/>
      <c r="F237" s="182"/>
      <c r="G237" s="182"/>
      <c r="H237" s="182"/>
      <c r="I237" s="182"/>
      <c r="J237" s="182"/>
      <c r="K237" s="182"/>
      <c r="L237" s="182"/>
      <c r="M237" s="182"/>
      <c r="N237" s="182"/>
      <c r="O237" s="182"/>
      <c r="P237" s="182"/>
      <c r="Q237" s="182"/>
    </row>
    <row r="238" spans="1:17" x14ac:dyDescent="0.25">
      <c r="A238" s="182"/>
      <c r="B238" s="182"/>
      <c r="C238" s="182"/>
      <c r="D238" s="182"/>
      <c r="E238" s="182"/>
      <c r="F238" s="182"/>
      <c r="G238" s="182"/>
      <c r="H238" s="182"/>
      <c r="I238" s="182"/>
      <c r="J238" s="182"/>
      <c r="K238" s="182"/>
      <c r="L238" s="182"/>
      <c r="M238" s="182"/>
      <c r="N238" s="182"/>
      <c r="O238" s="182"/>
      <c r="P238" s="182"/>
      <c r="Q238" s="182"/>
    </row>
    <row r="239" spans="1:17" ht="21" x14ac:dyDescent="0.25">
      <c r="A239" s="183" t="s">
        <v>704</v>
      </c>
      <c r="B239" s="183"/>
      <c r="C239" s="183"/>
      <c r="D239" s="183"/>
      <c r="E239" s="183"/>
      <c r="F239" s="183"/>
      <c r="G239" s="183"/>
      <c r="H239" s="183"/>
      <c r="I239" s="183"/>
      <c r="J239" s="183"/>
      <c r="K239" s="183"/>
      <c r="L239" s="183"/>
      <c r="M239" s="172" t="s">
        <v>33</v>
      </c>
      <c r="N239" s="172"/>
      <c r="O239" s="184" t="str">
        <f>'Start Here'!C$13</f>
        <v>Wharton Police Department</v>
      </c>
      <c r="P239" s="184"/>
      <c r="Q239" s="184"/>
    </row>
    <row r="240" spans="1:17" ht="43.15" customHeight="1" x14ac:dyDescent="0.25">
      <c r="C240" s="65"/>
      <c r="D240" s="200" t="s">
        <v>645</v>
      </c>
      <c r="E240" s="200"/>
      <c r="F240" s="199"/>
      <c r="G240" s="198" t="s">
        <v>635</v>
      </c>
      <c r="H240" s="200"/>
      <c r="I240" s="199"/>
      <c r="J240" s="198" t="s">
        <v>631</v>
      </c>
      <c r="K240" s="200"/>
      <c r="L240" s="200"/>
      <c r="M240" s="172" t="s">
        <v>34</v>
      </c>
      <c r="N240" s="172"/>
      <c r="O240" s="12">
        <f>'Start Here'!$C$16</f>
        <v>2023</v>
      </c>
    </row>
    <row r="241" spans="1:17" x14ac:dyDescent="0.25">
      <c r="D241" s="185" t="s">
        <v>25</v>
      </c>
      <c r="E241" s="175"/>
      <c r="F241" s="176"/>
      <c r="G241" s="185" t="s">
        <v>25</v>
      </c>
      <c r="H241" s="175"/>
      <c r="I241" s="176"/>
      <c r="J241" s="185" t="s">
        <v>25</v>
      </c>
      <c r="K241" s="175"/>
      <c r="L241" s="175"/>
    </row>
    <row r="242" spans="1:17" ht="30" x14ac:dyDescent="0.25">
      <c r="A242" s="186" t="s">
        <v>739</v>
      </c>
      <c r="B242" s="186"/>
      <c r="C242" s="187"/>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8" t="s">
        <v>727</v>
      </c>
      <c r="O244" s="189"/>
      <c r="P244" s="190"/>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91"/>
      <c r="O245" s="192"/>
      <c r="P245" s="193"/>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91"/>
      <c r="O246" s="192"/>
      <c r="P246" s="193"/>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91"/>
      <c r="O247" s="192"/>
      <c r="P247" s="193"/>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91"/>
      <c r="O248" s="192"/>
      <c r="P248" s="193"/>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91"/>
      <c r="O249" s="192"/>
      <c r="P249" s="193"/>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91"/>
      <c r="O250" s="192"/>
      <c r="P250" s="193"/>
      <c r="Q250" s="98"/>
    </row>
    <row r="251" spans="1:17" x14ac:dyDescent="0.25">
      <c r="D251" s="98"/>
      <c r="E251" s="98"/>
      <c r="F251" s="98"/>
      <c r="G251" s="98"/>
      <c r="H251" s="98"/>
      <c r="I251" s="98"/>
      <c r="J251" s="98"/>
      <c r="K251" s="98"/>
      <c r="M251" s="33"/>
      <c r="N251" s="191"/>
      <c r="O251" s="192"/>
      <c r="P251" s="193"/>
      <c r="Q251" s="98"/>
    </row>
    <row r="252" spans="1:17" ht="48" customHeight="1" x14ac:dyDescent="0.25">
      <c r="A252" s="197" t="s">
        <v>740</v>
      </c>
      <c r="B252" s="197"/>
      <c r="C252" s="197"/>
      <c r="D252" s="197"/>
      <c r="E252" s="197"/>
      <c r="F252" s="197"/>
      <c r="G252" s="197"/>
      <c r="H252" s="101"/>
      <c r="N252" s="191"/>
      <c r="O252" s="192"/>
      <c r="P252" s="193"/>
      <c r="Q252" s="98"/>
    </row>
    <row r="253" spans="1:17" ht="47.25" customHeight="1" thickBot="1" x14ac:dyDescent="0.3">
      <c r="A253" s="140"/>
      <c r="B253" s="140"/>
      <c r="C253" s="105"/>
      <c r="D253" s="198" t="s">
        <v>722</v>
      </c>
      <c r="E253" s="199"/>
      <c r="F253" s="200" t="s">
        <v>732</v>
      </c>
      <c r="G253" s="200"/>
      <c r="H253" s="101"/>
      <c r="N253" s="194"/>
      <c r="O253" s="195"/>
      <c r="P253" s="196"/>
      <c r="Q253" s="98"/>
    </row>
    <row r="254" spans="1:17" ht="32.25" customHeight="1" x14ac:dyDescent="0.25">
      <c r="D254" s="177" t="s">
        <v>637</v>
      </c>
      <c r="E254" s="178"/>
      <c r="F254" s="179" t="s">
        <v>637</v>
      </c>
      <c r="G254" s="179"/>
      <c r="H254" s="101"/>
      <c r="N254" s="108"/>
      <c r="O254" s="108"/>
      <c r="P254" s="108"/>
      <c r="Q254" s="98"/>
    </row>
    <row r="255" spans="1:17" ht="45" customHeight="1" x14ac:dyDescent="0.25">
      <c r="A255" s="180" t="s">
        <v>738</v>
      </c>
      <c r="B255" s="180"/>
      <c r="C255" s="181"/>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82" t="str">
        <f>$B$8&amp;": Discipline Issued"</f>
        <v>Q1: Discipline Issued</v>
      </c>
      <c r="B265" s="182"/>
      <c r="C265" s="182"/>
      <c r="D265" s="182"/>
      <c r="E265" s="182"/>
      <c r="F265" s="182"/>
      <c r="G265" s="182"/>
      <c r="H265" s="182"/>
      <c r="I265" s="182"/>
      <c r="J265" s="182"/>
      <c r="K265" s="182"/>
      <c r="L265" s="182"/>
      <c r="M265" s="182"/>
      <c r="N265" s="182"/>
      <c r="O265" s="182"/>
      <c r="P265" s="182"/>
      <c r="Q265" s="182"/>
    </row>
    <row r="266" spans="1:17" x14ac:dyDescent="0.25">
      <c r="A266" s="182"/>
      <c r="B266" s="182"/>
      <c r="C266" s="182"/>
      <c r="D266" s="182"/>
      <c r="E266" s="182"/>
      <c r="F266" s="182"/>
      <c r="G266" s="182"/>
      <c r="H266" s="182"/>
      <c r="I266" s="182"/>
      <c r="J266" s="182"/>
      <c r="K266" s="182"/>
      <c r="L266" s="182"/>
      <c r="M266" s="182"/>
      <c r="N266" s="182"/>
      <c r="O266" s="182"/>
      <c r="P266" s="182"/>
      <c r="Q266" s="182"/>
    </row>
    <row r="267" spans="1:17" ht="21" customHeight="1" x14ac:dyDescent="0.25">
      <c r="A267" s="183" t="s">
        <v>728</v>
      </c>
      <c r="B267" s="183"/>
      <c r="C267" s="183"/>
      <c r="D267" s="183"/>
      <c r="E267" s="183"/>
      <c r="F267" s="183"/>
      <c r="G267" s="183"/>
      <c r="H267" s="183"/>
      <c r="I267" s="183"/>
      <c r="J267" s="183"/>
      <c r="K267" s="183"/>
      <c r="L267" s="183"/>
      <c r="M267" s="183"/>
      <c r="N267" s="183"/>
      <c r="O267" s="183"/>
      <c r="P267" s="183"/>
      <c r="Q267" s="183"/>
    </row>
    <row r="268" spans="1:17" ht="75" x14ac:dyDescent="0.25">
      <c r="A268" s="173" t="s">
        <v>701</v>
      </c>
      <c r="B268" s="173"/>
      <c r="C268" s="174"/>
      <c r="D268" s="7" t="s">
        <v>662</v>
      </c>
      <c r="E268" s="7" t="s">
        <v>663</v>
      </c>
      <c r="F268" s="7" t="s">
        <v>664</v>
      </c>
      <c r="G268" s="7" t="s">
        <v>665</v>
      </c>
      <c r="H268" s="7" t="s">
        <v>666</v>
      </c>
      <c r="I268" s="7" t="s">
        <v>667</v>
      </c>
      <c r="J268" s="7" t="s">
        <v>668</v>
      </c>
      <c r="K268" s="7" t="s">
        <v>669</v>
      </c>
      <c r="L268" s="80" t="s">
        <v>670</v>
      </c>
      <c r="M268" s="7" t="s">
        <v>702</v>
      </c>
      <c r="N268" s="172" t="s">
        <v>33</v>
      </c>
      <c r="O268" s="172"/>
      <c r="P268" s="184" t="str">
        <f>'Start Here'!C$13</f>
        <v>Wharton Police Department</v>
      </c>
      <c r="Q268" s="184"/>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72" t="s">
        <v>34</v>
      </c>
      <c r="O269" s="172"/>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73" t="s">
        <v>699</v>
      </c>
      <c r="B280" s="173"/>
      <c r="C280" s="174"/>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5" t="s">
        <v>700</v>
      </c>
      <c r="B299" s="175"/>
      <c r="C299" s="176"/>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354C-B12B-435E-B94D-AD07EB5A7A0C}">
  <sheetPr>
    <tabColor theme="9"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5" t="s">
        <v>638</v>
      </c>
      <c r="B3" s="262"/>
      <c r="C3" s="262"/>
      <c r="D3" s="262"/>
      <c r="E3" s="262"/>
      <c r="F3" s="262"/>
      <c r="G3" s="262"/>
      <c r="H3" s="262"/>
      <c r="I3" s="262"/>
      <c r="J3" s="262"/>
      <c r="K3" s="262"/>
      <c r="L3" s="262"/>
      <c r="M3" s="262"/>
      <c r="N3" s="262"/>
      <c r="O3" s="262"/>
      <c r="P3" s="262"/>
      <c r="Q3" s="262"/>
    </row>
    <row r="4" spans="1:17" ht="26.1" customHeight="1" x14ac:dyDescent="0.25">
      <c r="A4" s="262" t="s">
        <v>585</v>
      </c>
      <c r="B4" s="262"/>
      <c r="C4" s="262"/>
      <c r="D4" s="262"/>
      <c r="E4" s="262"/>
      <c r="F4" s="262"/>
      <c r="G4" s="262"/>
      <c r="H4" s="262"/>
      <c r="I4" s="262"/>
      <c r="J4" s="262"/>
      <c r="K4" s="262"/>
      <c r="L4" s="262"/>
      <c r="M4" s="262"/>
      <c r="N4" s="262"/>
      <c r="O4" s="262"/>
      <c r="P4" s="262"/>
      <c r="Q4" s="262"/>
    </row>
    <row r="5" spans="1:17" ht="17.649999999999999" customHeight="1" x14ac:dyDescent="0.25">
      <c r="A5" s="186" t="s">
        <v>632</v>
      </c>
      <c r="B5" s="186"/>
      <c r="C5" s="186"/>
      <c r="D5" s="186"/>
      <c r="E5" s="186"/>
      <c r="F5" s="186"/>
      <c r="G5" s="186"/>
      <c r="H5" s="186"/>
      <c r="I5" s="186"/>
      <c r="J5" s="186"/>
      <c r="K5" s="186"/>
      <c r="L5" s="186"/>
      <c r="M5" s="186"/>
      <c r="N5" s="186"/>
      <c r="O5" s="186"/>
      <c r="P5" s="186"/>
      <c r="Q5" s="186"/>
    </row>
    <row r="6" spans="1:17" ht="22.15" customHeight="1" x14ac:dyDescent="0.25">
      <c r="A6" s="186"/>
      <c r="B6" s="186"/>
      <c r="C6" s="186"/>
      <c r="D6" s="186"/>
      <c r="E6" s="186"/>
      <c r="F6" s="186"/>
      <c r="G6" s="186"/>
      <c r="H6" s="186"/>
      <c r="I6" s="186"/>
      <c r="J6" s="186"/>
      <c r="K6" s="186"/>
      <c r="L6" s="186"/>
      <c r="M6" s="186"/>
      <c r="N6" s="186"/>
      <c r="O6" s="186"/>
      <c r="P6" s="186"/>
      <c r="Q6" s="186"/>
    </row>
    <row r="7" spans="1:17" ht="15.75" thickBot="1" x14ac:dyDescent="0.3"/>
    <row r="8" spans="1:17" ht="36" x14ac:dyDescent="0.3">
      <c r="A8" s="121" t="s">
        <v>741</v>
      </c>
      <c r="B8" s="122" t="s">
        <v>743</v>
      </c>
      <c r="C8" s="265" t="str">
        <f>$B$8&amp;" Internal Affairs Summary"</f>
        <v>Q2 Internal Affairs Summary</v>
      </c>
      <c r="D8" s="265"/>
      <c r="E8" s="265"/>
      <c r="F8" s="265"/>
      <c r="G8" s="265"/>
      <c r="H8" s="265"/>
      <c r="I8" s="265"/>
      <c r="J8" s="265"/>
      <c r="K8" s="265"/>
      <c r="L8" s="265"/>
      <c r="M8" s="265"/>
      <c r="N8" s="265"/>
      <c r="O8" s="265"/>
    </row>
    <row r="9" spans="1:17" ht="33" customHeight="1" x14ac:dyDescent="0.3">
      <c r="A9" s="123" t="s">
        <v>619</v>
      </c>
      <c r="B9" s="124">
        <f>IF($B$8 = "Q1", DATE($M$49, 1, 1), IF($B$8 = "Q2", DATE($M$49, 4, 1), IF($B$8 = "Q3", DATE($M$49, 7, 1), IF($B$8 = "Q4", DATE($M$49, 10, 1), DATE($M$49, 1, 1)))))</f>
        <v>45017</v>
      </c>
      <c r="C9" s="266">
        <f>'Start Here'!$C$16</f>
        <v>2023</v>
      </c>
      <c r="D9" s="265"/>
      <c r="E9" s="265"/>
      <c r="F9" s="265"/>
      <c r="G9" s="265"/>
      <c r="H9" s="265"/>
      <c r="I9" s="265"/>
      <c r="J9" s="265"/>
      <c r="K9" s="265"/>
      <c r="L9" s="265"/>
      <c r="M9" s="265"/>
      <c r="N9" s="265"/>
      <c r="O9" s="265"/>
      <c r="P9" s="119"/>
      <c r="Q9" s="119"/>
    </row>
    <row r="10" spans="1:17" ht="21" customHeight="1" thickBot="1" x14ac:dyDescent="0.35">
      <c r="A10" s="125" t="s">
        <v>620</v>
      </c>
      <c r="B10" s="126">
        <f>IF($B$8 = "Q1", DATE($M$49, 3, 31), IF($B$8 = "Q2", DATE($M$49, 6, 30), IF($B$8 = "Q3", DATE($M$49, 9, 30), IF($B$8 = "Q4", DATE($M$49, 12, 31), DATE($M$49, 12, 31)))))</f>
        <v>45107</v>
      </c>
      <c r="C10" s="267" t="str">
        <f>"Internal Affairs: "&amp;$B$8&amp;" Snapshot"</f>
        <v>Internal Affairs: Q2 Snapshot</v>
      </c>
      <c r="D10" s="182"/>
      <c r="E10" s="182"/>
      <c r="F10" s="182"/>
      <c r="G10" s="182"/>
      <c r="H10" s="182"/>
      <c r="I10" s="182"/>
      <c r="J10" s="182"/>
      <c r="K10" s="182"/>
      <c r="L10" s="182"/>
      <c r="M10" s="182"/>
      <c r="N10" s="182"/>
      <c r="O10" s="182"/>
      <c r="P10" s="119"/>
      <c r="Q10" s="119"/>
    </row>
    <row r="12" spans="1:17" ht="18.75" x14ac:dyDescent="0.3">
      <c r="A12" s="246" t="str">
        <f>"This sheet contains some top-line facts and figures for Internal Affairs cases closed in "&amp;$B$8&amp;"."</f>
        <v>This sheet contains some top-line facts and figures for Internal Affairs cases closed in Q2.</v>
      </c>
      <c r="B12" s="262"/>
      <c r="C12" s="262"/>
      <c r="D12" s="262"/>
      <c r="E12" s="262"/>
      <c r="F12" s="262"/>
      <c r="G12" s="262"/>
      <c r="H12" s="262"/>
      <c r="I12" s="262"/>
      <c r="J12" s="262"/>
      <c r="K12" s="262"/>
      <c r="L12" s="262"/>
      <c r="M12" s="262"/>
      <c r="N12" s="262"/>
      <c r="O12" s="262"/>
      <c r="P12" s="262"/>
      <c r="Q12" s="262"/>
    </row>
    <row r="13" spans="1:17" ht="18.75" x14ac:dyDescent="0.3">
      <c r="A13" s="246" t="s">
        <v>705</v>
      </c>
      <c r="B13" s="246"/>
      <c r="C13" s="246"/>
      <c r="D13" s="246"/>
      <c r="E13" s="246"/>
      <c r="F13" s="246"/>
      <c r="G13" s="246"/>
      <c r="H13" s="246"/>
      <c r="I13" s="246"/>
      <c r="J13" s="246"/>
      <c r="K13" s="246"/>
      <c r="L13" s="246"/>
      <c r="M13" s="246"/>
      <c r="N13" s="246"/>
      <c r="O13" s="246"/>
      <c r="P13" s="246"/>
      <c r="Q13" s="246"/>
    </row>
    <row r="15" spans="1:17" ht="40.5" customHeight="1" x14ac:dyDescent="0.25">
      <c r="A15" s="94"/>
      <c r="B15" s="94"/>
      <c r="C15" s="94"/>
      <c r="D15" s="94"/>
      <c r="E15" s="95"/>
      <c r="F15" s="263" t="s">
        <v>706</v>
      </c>
      <c r="G15" s="264"/>
      <c r="H15" s="233" t="s">
        <v>707</v>
      </c>
      <c r="I15" s="233"/>
      <c r="J15" s="233" t="s">
        <v>708</v>
      </c>
      <c r="K15" s="233"/>
      <c r="L15" s="233" t="s">
        <v>703</v>
      </c>
      <c r="M15" s="233"/>
      <c r="N15" s="94"/>
      <c r="O15" s="94"/>
      <c r="P15" s="94"/>
      <c r="Q15" s="94"/>
    </row>
    <row r="16" spans="1:17" ht="18.75" x14ac:dyDescent="0.3">
      <c r="C16" s="73"/>
      <c r="D16" s="73"/>
      <c r="E16" s="90" t="s">
        <v>658</v>
      </c>
      <c r="F16" s="251">
        <f t="shared" ref="F16:F24" si="0">COUNTIFS(PendingStatus,"Closed",PendingMSO,$E16,PendingCloseDate,"&gt;="&amp;$B$9,PendingCloseDate,"&lt;="&amp;$B$10) + COUNTIFS(OpenedStatus,"Closed",OpenedMSO,$E16,OpenedCloseDate,"&gt;="&amp;$B$9,OpenedCloseDate,"&lt;="&amp;$B$10)</f>
        <v>0</v>
      </c>
      <c r="G16" s="254"/>
      <c r="H16" s="252">
        <f t="shared" ref="H16:H24" si="1">COUNTIFS(PendingMSO,$E16,PendingStatus,"Closed",PendingMSOMatch,"Yes",PendingCloseDate,"&gt;="&amp;$B$9,PendingCloseDate,"&lt;="&amp;$B$10) + COUNTIFS(OpenedMSO,$E16,OpenedStatus,"Closed",OpenedMSOMatch,"Yes",OpenedCloseDate,"&gt;="&amp;$B$9,OpenedCloseDate,"&lt;="&amp;$B$10)</f>
        <v>0</v>
      </c>
      <c r="I16" s="252"/>
      <c r="J16" s="252">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2"/>
      <c r="L16" s="252">
        <f t="shared" ref="L16:L24" si="3">COUNTIFS(PendingMSO,$E16,PendingInternalDisposition, "&lt;&gt;Sustained", PendingCloseDate,"&gt;="&amp;$B$9,PendingCloseDate,"&lt;="&amp;$B$10) + COUNTIFS(OpenedMSO,$E16,OpenedInternalDisposition, "&lt;&gt;Sustained", OpenedCloseDate,"&gt;="&amp;$B$9,OpenedCloseDate,"&lt;="&amp;$B$10)</f>
        <v>0</v>
      </c>
      <c r="M16" s="252"/>
    </row>
    <row r="17" spans="3:16" ht="18.75" x14ac:dyDescent="0.3">
      <c r="C17" s="67"/>
      <c r="D17" s="67"/>
      <c r="E17" s="91" t="s">
        <v>651</v>
      </c>
      <c r="F17" s="261">
        <f t="shared" si="0"/>
        <v>0</v>
      </c>
      <c r="G17" s="256"/>
      <c r="H17" s="255">
        <f t="shared" si="1"/>
        <v>0</v>
      </c>
      <c r="I17" s="255"/>
      <c r="J17" s="255">
        <f t="shared" si="2"/>
        <v>0</v>
      </c>
      <c r="K17" s="255"/>
      <c r="L17" s="255">
        <f t="shared" si="3"/>
        <v>0</v>
      </c>
      <c r="M17" s="255"/>
    </row>
    <row r="18" spans="3:16" ht="18.75" x14ac:dyDescent="0.3">
      <c r="E18" s="92" t="s">
        <v>652</v>
      </c>
      <c r="F18" s="257">
        <f t="shared" si="0"/>
        <v>0</v>
      </c>
      <c r="G18" s="247"/>
      <c r="H18" s="246">
        <f t="shared" si="1"/>
        <v>0</v>
      </c>
      <c r="I18" s="246"/>
      <c r="J18" s="246">
        <f t="shared" si="2"/>
        <v>0</v>
      </c>
      <c r="K18" s="246"/>
      <c r="L18" s="246">
        <f t="shared" si="3"/>
        <v>0</v>
      </c>
      <c r="M18" s="246"/>
    </row>
    <row r="19" spans="3:16" ht="18.75" x14ac:dyDescent="0.3">
      <c r="C19" s="67"/>
      <c r="D19" s="67"/>
      <c r="E19" s="91" t="s">
        <v>653</v>
      </c>
      <c r="F19" s="261">
        <f t="shared" si="0"/>
        <v>0</v>
      </c>
      <c r="G19" s="256"/>
      <c r="H19" s="255">
        <f t="shared" si="1"/>
        <v>0</v>
      </c>
      <c r="I19" s="255"/>
      <c r="J19" s="255">
        <f t="shared" si="2"/>
        <v>0</v>
      </c>
      <c r="K19" s="255"/>
      <c r="L19" s="255">
        <f t="shared" si="3"/>
        <v>0</v>
      </c>
      <c r="M19" s="255"/>
    </row>
    <row r="20" spans="3:16" ht="18.75" x14ac:dyDescent="0.3">
      <c r="E20" s="92" t="s">
        <v>654</v>
      </c>
      <c r="F20" s="257">
        <f t="shared" si="0"/>
        <v>0</v>
      </c>
      <c r="G20" s="247"/>
      <c r="H20" s="246">
        <f t="shared" si="1"/>
        <v>0</v>
      </c>
      <c r="I20" s="246"/>
      <c r="J20" s="246">
        <f t="shared" si="2"/>
        <v>0</v>
      </c>
      <c r="K20" s="246"/>
      <c r="L20" s="246">
        <f t="shared" si="3"/>
        <v>0</v>
      </c>
      <c r="M20" s="246"/>
    </row>
    <row r="21" spans="3:16" ht="18.75" x14ac:dyDescent="0.3">
      <c r="C21" s="67"/>
      <c r="D21" s="67"/>
      <c r="E21" s="91" t="s">
        <v>655</v>
      </c>
      <c r="F21" s="261">
        <f t="shared" si="0"/>
        <v>0</v>
      </c>
      <c r="G21" s="256"/>
      <c r="H21" s="255">
        <f t="shared" si="1"/>
        <v>0</v>
      </c>
      <c r="I21" s="255"/>
      <c r="J21" s="255">
        <f t="shared" si="2"/>
        <v>0</v>
      </c>
      <c r="K21" s="255"/>
      <c r="L21" s="255">
        <f t="shared" si="3"/>
        <v>0</v>
      </c>
      <c r="M21" s="255"/>
    </row>
    <row r="22" spans="3:16" ht="18.75" x14ac:dyDescent="0.3">
      <c r="E22" s="92" t="s">
        <v>656</v>
      </c>
      <c r="F22" s="257">
        <f t="shared" si="0"/>
        <v>0</v>
      </c>
      <c r="G22" s="247"/>
      <c r="H22" s="246">
        <f t="shared" si="1"/>
        <v>0</v>
      </c>
      <c r="I22" s="246"/>
      <c r="J22" s="246">
        <f t="shared" si="2"/>
        <v>0</v>
      </c>
      <c r="K22" s="246"/>
      <c r="L22" s="246">
        <f t="shared" si="3"/>
        <v>0</v>
      </c>
      <c r="M22" s="246"/>
    </row>
    <row r="23" spans="3:16" ht="18.75" x14ac:dyDescent="0.3">
      <c r="C23" s="67"/>
      <c r="D23" s="67"/>
      <c r="E23" s="91" t="s">
        <v>5</v>
      </c>
      <c r="F23" s="261">
        <f t="shared" si="0"/>
        <v>0</v>
      </c>
      <c r="G23" s="256"/>
      <c r="H23" s="255">
        <f t="shared" si="1"/>
        <v>0</v>
      </c>
      <c r="I23" s="255"/>
      <c r="J23" s="255">
        <f t="shared" si="2"/>
        <v>0</v>
      </c>
      <c r="K23" s="255"/>
      <c r="L23" s="255">
        <f t="shared" si="3"/>
        <v>0</v>
      </c>
      <c r="M23" s="255"/>
    </row>
    <row r="24" spans="3:16" ht="18.75" x14ac:dyDescent="0.3">
      <c r="E24" s="92" t="s">
        <v>657</v>
      </c>
      <c r="F24" s="257">
        <f t="shared" si="0"/>
        <v>0</v>
      </c>
      <c r="G24" s="247"/>
      <c r="H24" s="246">
        <f t="shared" si="1"/>
        <v>0</v>
      </c>
      <c r="I24" s="246"/>
      <c r="J24" s="246">
        <f t="shared" si="2"/>
        <v>0</v>
      </c>
      <c r="K24" s="246"/>
      <c r="L24" s="246">
        <f t="shared" si="3"/>
        <v>0</v>
      </c>
      <c r="M24" s="246"/>
    </row>
    <row r="25" spans="3:16" ht="18.75" x14ac:dyDescent="0.3">
      <c r="C25" s="78"/>
      <c r="D25" s="78"/>
      <c r="E25" s="93" t="s">
        <v>615</v>
      </c>
      <c r="F25" s="258">
        <f>SUM(F16:F24)</f>
        <v>0</v>
      </c>
      <c r="G25" s="259"/>
      <c r="H25" s="260">
        <f t="shared" ref="H25" si="4">SUM(H16:H24)</f>
        <v>0</v>
      </c>
      <c r="I25" s="260"/>
      <c r="J25" s="260">
        <f>SUM(J16:J24)</f>
        <v>0</v>
      </c>
      <c r="K25" s="260"/>
      <c r="L25" s="260">
        <f>SUM(L16:L24)</f>
        <v>0</v>
      </c>
      <c r="M25" s="260"/>
    </row>
    <row r="28" spans="3:16" ht="21" x14ac:dyDescent="0.35">
      <c r="F28" s="248" t="str">
        <f>"Distribution of sources for complaints closed in "&amp;$B$8</f>
        <v>Distribution of sources for complaints closed in Q2</v>
      </c>
      <c r="G28" s="248"/>
      <c r="H28" s="248"/>
      <c r="I28" s="248"/>
      <c r="J28" s="248"/>
      <c r="K28" s="248"/>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9" t="s">
        <v>26</v>
      </c>
      <c r="G30" s="249"/>
      <c r="H30" s="250" t="s">
        <v>28</v>
      </c>
      <c r="I30" s="250"/>
      <c r="J30" s="249" t="s">
        <v>27</v>
      </c>
      <c r="K30" s="249"/>
      <c r="L30" s="99"/>
      <c r="M30" s="99"/>
      <c r="N30" s="99"/>
      <c r="O30" s="99"/>
      <c r="P30" s="99"/>
    </row>
    <row r="31" spans="3:16" ht="18.75" x14ac:dyDescent="0.3">
      <c r="E31" s="134" t="s">
        <v>709</v>
      </c>
      <c r="F31" s="251">
        <f>COUNTIFS(PendingComplaintSource, F30, PendingCloseDate,"&gt;="&amp;$B$9,PendingCloseDate,"&lt;="&amp;$B$10) + COUNTIFS(OpenedComplaintSource, F30, OpenedCloseDate,"&gt;="&amp;$B$9,OpenedCloseDate,"&lt;="&amp;$B$10)</f>
        <v>0</v>
      </c>
      <c r="G31" s="252"/>
      <c r="H31" s="253">
        <f>COUNTIFS(PendingComplaintSource, H30, PendingCloseDate,"&gt;="&amp;$B$9,PendingCloseDate,"&lt;="&amp;$B$10) + COUNTIFS(OpenedComplaintSource, H30, OpenedCloseDate,"&gt;="&amp;$B$9,OpenedCloseDate,"&lt;="&amp;$B$10)</f>
        <v>0</v>
      </c>
      <c r="I31" s="253"/>
      <c r="J31" s="252">
        <f>COUNTIFS(PendingComplaintSource, J30, PendingCloseDate,"&gt;="&amp;$B$9,PendingCloseDate,"&lt;="&amp;$B$10) + COUNTIFS(OpenedComplaintSource, J30, OpenedCloseDate,"&gt;="&amp;$B$9,OpenedCloseDate,"&lt;="&amp;$B$10)</f>
        <v>0</v>
      </c>
      <c r="K31" s="254"/>
      <c r="L31" s="99"/>
      <c r="M31" s="99"/>
      <c r="N31" s="99"/>
      <c r="O31" s="99"/>
      <c r="P31" s="99"/>
    </row>
    <row r="32" spans="3:16" ht="18.75" x14ac:dyDescent="0.3">
      <c r="E32" s="120" t="s">
        <v>710</v>
      </c>
      <c r="F32" s="223" t="str">
        <f t="shared" ref="F32" si="5">IF(SUM($F31:$J31)=0, "", F31/SUM($F31:$J31))</f>
        <v/>
      </c>
      <c r="G32" s="224"/>
      <c r="H32" s="225" t="str">
        <f t="shared" ref="H32" si="6">IF(SUM($F31:$J31)=0, "", H31/SUM($F31:$J31))</f>
        <v/>
      </c>
      <c r="I32" s="225"/>
      <c r="J32" s="224" t="str">
        <f>IF(SUM($F31:$J31)=0, "", J31/SUM($F31:$J31))</f>
        <v/>
      </c>
      <c r="K32" s="226"/>
    </row>
    <row r="33" spans="1:17" ht="15.75" thickBot="1" x14ac:dyDescent="0.3"/>
    <row r="34" spans="1:17" ht="36.75" customHeight="1" x14ac:dyDescent="0.3">
      <c r="C34" s="227" t="str">
        <f>"Frequency of discipline by type for complaints closed in "&amp;$B$8</f>
        <v>Frequency of discipline by type for complaints closed in Q2</v>
      </c>
      <c r="D34" s="227"/>
      <c r="E34" s="227"/>
      <c r="F34" s="227"/>
      <c r="G34" s="137"/>
      <c r="I34" s="228" t="str">
        <f>$B$8&amp;" Summary"</f>
        <v>Q2 Summary</v>
      </c>
      <c r="J34" s="228"/>
      <c r="K34" s="228"/>
      <c r="M34" s="229" t="s">
        <v>625</v>
      </c>
      <c r="N34" s="230"/>
      <c r="O34" s="230"/>
      <c r="P34" s="231"/>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38" t="s">
        <v>621</v>
      </c>
      <c r="J35" s="239"/>
      <c r="K35" s="242">
        <f>SUM($B$67:$D$67)</f>
        <v>3</v>
      </c>
      <c r="M35" s="232"/>
      <c r="N35" s="233"/>
      <c r="O35" s="233"/>
      <c r="P35" s="234"/>
    </row>
    <row r="36" spans="1:17" ht="18.75" x14ac:dyDescent="0.3">
      <c r="B36" s="67"/>
      <c r="C36" s="67"/>
      <c r="D36" s="67"/>
      <c r="E36" s="139"/>
      <c r="F36" s="91" t="s">
        <v>663</v>
      </c>
      <c r="G36" s="139">
        <f t="shared" si="7"/>
        <v>0</v>
      </c>
      <c r="I36" s="240"/>
      <c r="J36" s="241"/>
      <c r="K36" s="243"/>
      <c r="M36" s="232"/>
      <c r="N36" s="233"/>
      <c r="O36" s="233"/>
      <c r="P36" s="234"/>
    </row>
    <row r="37" spans="1:17" ht="18.75" customHeight="1" x14ac:dyDescent="0.3">
      <c r="E37" s="138"/>
      <c r="F37" s="92" t="s">
        <v>664</v>
      </c>
      <c r="G37" s="138">
        <f t="shared" si="7"/>
        <v>0</v>
      </c>
      <c r="I37" s="244" t="s">
        <v>643</v>
      </c>
      <c r="J37" s="245"/>
      <c r="K37" s="106">
        <f>SUM($E$67:$G$67)</f>
        <v>0</v>
      </c>
      <c r="M37" s="232"/>
      <c r="N37" s="233"/>
      <c r="O37" s="233"/>
      <c r="P37" s="234"/>
    </row>
    <row r="38" spans="1:17" ht="18.75" x14ac:dyDescent="0.3">
      <c r="B38" s="67"/>
      <c r="C38" s="67"/>
      <c r="D38" s="67"/>
      <c r="E38" s="139"/>
      <c r="F38" s="91" t="s">
        <v>665</v>
      </c>
      <c r="G38" s="139">
        <f t="shared" si="7"/>
        <v>0</v>
      </c>
      <c r="I38" s="246" t="s">
        <v>622</v>
      </c>
      <c r="J38" s="247"/>
      <c r="K38" s="107">
        <f>$B$82</f>
        <v>0</v>
      </c>
      <c r="M38" s="232"/>
      <c r="N38" s="233"/>
      <c r="O38" s="233"/>
      <c r="P38" s="234"/>
    </row>
    <row r="39" spans="1:17" ht="18.75" x14ac:dyDescent="0.3">
      <c r="E39" s="138"/>
      <c r="F39" s="92" t="s">
        <v>666</v>
      </c>
      <c r="G39" s="138">
        <f t="shared" si="7"/>
        <v>0</v>
      </c>
      <c r="I39" s="255" t="s">
        <v>623</v>
      </c>
      <c r="J39" s="256"/>
      <c r="K39" s="106">
        <f>COUNTIFS(OpenedInternalDisposition, "Sustained", OpenedCloseDate,"&gt;="&amp;$B$9, OpenedCloseDate, "&lt;="&amp;$B$10, OpenedStatus, "Closed")+COUNTIFS(PendingInternalDisposition, "Sustained", PendingCloseDate, "&gt;="&amp;$B$9, PendingCloseDate, "&lt;="&amp;$B$10, PendingStatus,"Closed")</f>
        <v>0</v>
      </c>
      <c r="M39" s="232"/>
      <c r="N39" s="233"/>
      <c r="O39" s="233"/>
      <c r="P39" s="234"/>
    </row>
    <row r="40" spans="1:17" ht="18.75" x14ac:dyDescent="0.3">
      <c r="B40" s="67"/>
      <c r="C40" s="67"/>
      <c r="D40" s="67"/>
      <c r="E40" s="139"/>
      <c r="F40" s="91" t="s">
        <v>667</v>
      </c>
      <c r="G40" s="139">
        <f t="shared" si="7"/>
        <v>0</v>
      </c>
      <c r="I40" s="246" t="s">
        <v>618</v>
      </c>
      <c r="J40" s="247"/>
      <c r="K40" s="107">
        <f>COUNTIFS(PendingInternalDisposition, "&lt;&gt;Sustained", PendingCloseDate, "&gt;="&amp;$B$9, PendingCloseDate, "&lt;="&amp;$B$10, PendingStatus, "Closed")+COUNTIFS(OpenedInternalDisposition, "&lt;&gt;Sustained", OpenedCloseDate, "&gt;="&amp;$B$9, OpenedCloseDate, "&lt;="&amp;$B$10, OpenedStatus, "Closed")</f>
        <v>0</v>
      </c>
      <c r="M40" s="232"/>
      <c r="N40" s="233"/>
      <c r="O40" s="233"/>
      <c r="P40" s="234"/>
    </row>
    <row r="41" spans="1:17" ht="18.75" x14ac:dyDescent="0.3">
      <c r="E41" s="138"/>
      <c r="F41" s="92" t="s">
        <v>692</v>
      </c>
      <c r="G41" s="138">
        <f t="shared" si="7"/>
        <v>0</v>
      </c>
      <c r="I41" s="255" t="s">
        <v>644</v>
      </c>
      <c r="J41" s="256"/>
      <c r="K41" s="106">
        <f>COUNTIFS(PendingStatus, "Closed", PendingCloseDate, "&gt;="&amp;$B$9, PendingCloseDate, "&lt;="&amp;$B$10, PendingLengthOfCase, "&gt;180") + COUNTIFS(OpenedStatus, "Closed", OpenedCloseDate, "&gt;="&amp;$B$9, OpenedCloseDate, "&lt;="&amp;$B$10, OpenedLengthOfCase, "&gt;180")</f>
        <v>0</v>
      </c>
      <c r="M41" s="232"/>
      <c r="N41" s="233"/>
      <c r="O41" s="233"/>
      <c r="P41" s="234"/>
    </row>
    <row r="42" spans="1:17" ht="18.75" customHeight="1" x14ac:dyDescent="0.3">
      <c r="B42" s="67"/>
      <c r="C42" s="67"/>
      <c r="D42" s="67"/>
      <c r="E42" s="139"/>
      <c r="F42" s="91" t="s">
        <v>668</v>
      </c>
      <c r="G42" s="139">
        <f t="shared" si="7"/>
        <v>0</v>
      </c>
      <c r="I42" s="240" t="str">
        <f>"Total Pending  at end of "&amp;$B$8</f>
        <v>Total Pending  at end of Q2</v>
      </c>
      <c r="J42" s="241"/>
      <c r="K42" s="243">
        <f>(SUM(K35:K37))-K38</f>
        <v>3</v>
      </c>
      <c r="M42" s="232"/>
      <c r="N42" s="233"/>
      <c r="O42" s="233"/>
      <c r="P42" s="234"/>
    </row>
    <row r="43" spans="1:17" ht="18.75" x14ac:dyDescent="0.3">
      <c r="E43" s="138"/>
      <c r="F43" s="92" t="s">
        <v>669</v>
      </c>
      <c r="G43" s="138">
        <f t="shared" si="7"/>
        <v>0</v>
      </c>
      <c r="I43" s="240"/>
      <c r="J43" s="241"/>
      <c r="K43" s="243"/>
      <c r="M43" s="232"/>
      <c r="N43" s="233"/>
      <c r="O43" s="233"/>
      <c r="P43" s="234"/>
    </row>
    <row r="44" spans="1:17" ht="19.5" thickBot="1" x14ac:dyDescent="0.35">
      <c r="B44" s="67"/>
      <c r="C44" s="67"/>
      <c r="D44" s="67"/>
      <c r="E44" s="139"/>
      <c r="F44" s="91" t="s">
        <v>670</v>
      </c>
      <c r="G44" s="139">
        <f t="shared" si="7"/>
        <v>0</v>
      </c>
      <c r="I44" s="73"/>
      <c r="J44" s="73"/>
      <c r="K44" s="73"/>
      <c r="M44" s="235"/>
      <c r="N44" s="236"/>
      <c r="O44" s="236"/>
      <c r="P44" s="237"/>
    </row>
    <row r="45" spans="1:17" ht="18.75" x14ac:dyDescent="0.3">
      <c r="B45" s="73"/>
      <c r="C45" s="73"/>
      <c r="D45" s="73"/>
      <c r="E45" s="73"/>
      <c r="F45" s="96" t="s">
        <v>615</v>
      </c>
      <c r="G45" s="97">
        <f>SUM(G35:G44)</f>
        <v>0</v>
      </c>
    </row>
    <row r="48" spans="1:17" x14ac:dyDescent="0.25">
      <c r="A48" s="1"/>
      <c r="K48" s="172" t="s">
        <v>33</v>
      </c>
      <c r="L48" s="172"/>
      <c r="M48" s="184" t="str">
        <f>'Start Here'!C$13</f>
        <v>Wharton Police Department</v>
      </c>
      <c r="N48" s="184"/>
      <c r="O48" s="184"/>
      <c r="P48" s="184"/>
      <c r="Q48" s="184"/>
    </row>
    <row r="49" spans="1:31" x14ac:dyDescent="0.25">
      <c r="A49" s="1"/>
      <c r="K49" s="172" t="s">
        <v>34</v>
      </c>
      <c r="L49" s="172"/>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7" t="str">
        <f>$B$8&amp;": Cases Opened and Closed, All Allegations"</f>
        <v>Q2: Cases Opened and Closed, All Allegations</v>
      </c>
      <c r="B52" s="207"/>
      <c r="C52" s="207"/>
      <c r="D52" s="207"/>
      <c r="E52" s="207"/>
      <c r="F52" s="207"/>
      <c r="G52" s="207"/>
      <c r="H52" s="207"/>
      <c r="I52" s="207"/>
      <c r="J52" s="207"/>
      <c r="K52" s="207"/>
      <c r="L52" s="207"/>
      <c r="M52" s="207"/>
      <c r="N52" s="207"/>
      <c r="O52" s="207"/>
      <c r="P52" s="207"/>
      <c r="Q52" s="207"/>
    </row>
    <row r="53" spans="1:31" ht="14.65" customHeight="1" x14ac:dyDescent="0.25">
      <c r="A53" s="207"/>
      <c r="B53" s="207"/>
      <c r="C53" s="207"/>
      <c r="D53" s="207"/>
      <c r="E53" s="207"/>
      <c r="F53" s="207"/>
      <c r="G53" s="207"/>
      <c r="H53" s="207"/>
      <c r="I53" s="207"/>
      <c r="J53" s="207"/>
      <c r="K53" s="207"/>
      <c r="L53" s="207"/>
      <c r="M53" s="207"/>
      <c r="N53" s="207"/>
      <c r="O53" s="207"/>
      <c r="P53" s="207"/>
      <c r="Q53" s="207"/>
    </row>
    <row r="54" spans="1:31" ht="21" x14ac:dyDescent="0.25">
      <c r="A54" s="183" t="s">
        <v>713</v>
      </c>
      <c r="B54" s="183"/>
      <c r="C54" s="183"/>
      <c r="D54" s="183"/>
      <c r="E54" s="183"/>
      <c r="F54" s="183"/>
      <c r="G54" s="183"/>
      <c r="H54" s="183"/>
      <c r="I54" s="183"/>
      <c r="J54" s="183"/>
      <c r="K54" s="45"/>
      <c r="L54" s="45"/>
      <c r="M54" s="45"/>
      <c r="N54" s="45"/>
      <c r="O54" s="45"/>
      <c r="P54" s="45"/>
      <c r="Q54" s="45"/>
    </row>
    <row r="55" spans="1:31" ht="15.75" thickBot="1" x14ac:dyDescent="0.3">
      <c r="B55" s="175" t="s">
        <v>25</v>
      </c>
      <c r="C55" s="175"/>
      <c r="D55" s="175"/>
      <c r="E55" s="175"/>
      <c r="F55" s="175"/>
      <c r="G55" s="175"/>
      <c r="H55" s="175"/>
      <c r="I55" s="175"/>
      <c r="J55" s="175"/>
      <c r="K55" s="27"/>
      <c r="L55" s="27"/>
      <c r="M55" s="27"/>
      <c r="N55" s="27"/>
      <c r="O55" s="27"/>
    </row>
    <row r="56" spans="1:31" ht="26.25" customHeight="1" x14ac:dyDescent="0.25">
      <c r="B56" s="203" t="s">
        <v>32</v>
      </c>
      <c r="C56" s="203"/>
      <c r="D56" s="203"/>
      <c r="E56" s="205" t="s">
        <v>624</v>
      </c>
      <c r="F56" s="203"/>
      <c r="G56" s="203"/>
      <c r="H56" s="206" t="s">
        <v>646</v>
      </c>
      <c r="I56" s="186"/>
      <c r="J56" s="186"/>
      <c r="K56" s="27"/>
      <c r="L56" s="27"/>
      <c r="N56" s="188" t="s">
        <v>715</v>
      </c>
      <c r="O56" s="189"/>
      <c r="P56" s="190"/>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91"/>
      <c r="O57" s="192"/>
      <c r="P57" s="193"/>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3</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91"/>
      <c r="O58" s="192"/>
      <c r="P58" s="193"/>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91"/>
      <c r="O59" s="192"/>
      <c r="P59" s="193"/>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91"/>
      <c r="O60" s="192"/>
      <c r="P60" s="193"/>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91"/>
      <c r="O61" s="192"/>
      <c r="P61" s="193"/>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91"/>
      <c r="O62" s="192"/>
      <c r="P62" s="193"/>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91"/>
      <c r="O63" s="192"/>
      <c r="P63" s="193"/>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91"/>
      <c r="O64" s="192"/>
      <c r="P64" s="193"/>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91"/>
      <c r="O65" s="192"/>
      <c r="P65" s="193"/>
    </row>
    <row r="66" spans="1:31" ht="15.75" thickBot="1" x14ac:dyDescent="0.3">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94"/>
      <c r="O66" s="195"/>
      <c r="P66" s="196"/>
    </row>
    <row r="67" spans="1:31" x14ac:dyDescent="0.25">
      <c r="A67" s="89" t="s">
        <v>615</v>
      </c>
      <c r="B67" s="43">
        <f>SUM(B58:B66)</f>
        <v>3</v>
      </c>
      <c r="C67" s="43">
        <f t="shared" ref="C67:D67" si="11">SUM(C58:C66)</f>
        <v>0</v>
      </c>
      <c r="D67" s="43">
        <f t="shared" si="11"/>
        <v>0</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83" t="s">
        <v>714</v>
      </c>
      <c r="B70" s="183"/>
      <c r="C70" s="183"/>
      <c r="D70" s="183"/>
      <c r="E70" s="183"/>
      <c r="F70" s="183"/>
      <c r="G70" s="183"/>
      <c r="H70" s="183"/>
      <c r="I70" s="183"/>
      <c r="J70" s="183"/>
      <c r="K70" s="183"/>
      <c r="L70" s="183"/>
      <c r="M70" s="183"/>
      <c r="N70" s="183"/>
      <c r="O70" s="183"/>
      <c r="P70" s="183"/>
      <c r="Q70" s="183"/>
    </row>
    <row r="71" spans="1:31" x14ac:dyDescent="0.25">
      <c r="B71" s="185" t="s">
        <v>634</v>
      </c>
      <c r="C71" s="175"/>
      <c r="D71" s="176"/>
      <c r="E71" s="185" t="s">
        <v>25</v>
      </c>
      <c r="F71" s="175"/>
      <c r="G71" s="176"/>
      <c r="H71" s="185" t="s">
        <v>614</v>
      </c>
      <c r="I71" s="175"/>
      <c r="J71" s="175"/>
      <c r="K71" s="176"/>
      <c r="L71" s="185" t="s">
        <v>605</v>
      </c>
      <c r="M71" s="175"/>
      <c r="N71" s="175"/>
      <c r="O71" s="175"/>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7" t="str">
        <f>$B$8&amp;": Cases Closed, All Allegations"</f>
        <v>Q2: Cases Closed, All Allegations</v>
      </c>
      <c r="B86" s="207"/>
      <c r="C86" s="207"/>
      <c r="D86" s="207"/>
      <c r="E86" s="207"/>
      <c r="F86" s="207"/>
      <c r="G86" s="207"/>
      <c r="H86" s="207"/>
      <c r="I86" s="207"/>
      <c r="J86" s="207"/>
      <c r="K86" s="207"/>
      <c r="L86" s="207"/>
      <c r="M86" s="207"/>
      <c r="N86" s="207"/>
      <c r="O86" s="207"/>
      <c r="P86" s="207"/>
      <c r="Q86" s="207"/>
      <c r="R86" s="84"/>
      <c r="S86" s="84"/>
      <c r="T86" s="84"/>
    </row>
    <row r="87" spans="1:20" ht="14.65" customHeight="1" x14ac:dyDescent="0.35">
      <c r="A87" s="207"/>
      <c r="B87" s="207"/>
      <c r="C87" s="207"/>
      <c r="D87" s="207"/>
      <c r="E87" s="207"/>
      <c r="F87" s="207"/>
      <c r="G87" s="207"/>
      <c r="H87" s="207"/>
      <c r="I87" s="207"/>
      <c r="J87" s="207"/>
      <c r="K87" s="207"/>
      <c r="L87" s="207"/>
      <c r="M87" s="207"/>
      <c r="N87" s="207"/>
      <c r="O87" s="207"/>
      <c r="P87" s="207"/>
      <c r="Q87" s="207"/>
      <c r="R87" s="84"/>
      <c r="S87" s="84"/>
      <c r="T87" s="84"/>
    </row>
    <row r="88" spans="1:20" ht="14.25" customHeight="1" x14ac:dyDescent="0.25">
      <c r="A88" s="183" t="s">
        <v>616</v>
      </c>
      <c r="B88" s="183"/>
      <c r="C88" s="183"/>
      <c r="D88" s="183"/>
      <c r="E88" s="183"/>
      <c r="F88" s="183"/>
      <c r="G88" s="183"/>
      <c r="H88" s="183"/>
      <c r="I88" s="183"/>
      <c r="J88" s="183"/>
      <c r="K88" s="183"/>
      <c r="L88" s="183"/>
      <c r="M88" s="183"/>
      <c r="N88" s="172" t="s">
        <v>33</v>
      </c>
      <c r="O88" s="172"/>
      <c r="P88" s="184" t="str">
        <f>'Start Here'!C$13</f>
        <v>Wharton Police Department</v>
      </c>
      <c r="Q88" s="184"/>
    </row>
    <row r="89" spans="1:20" ht="14.65" customHeight="1" x14ac:dyDescent="0.25">
      <c r="A89" s="183"/>
      <c r="B89" s="183"/>
      <c r="C89" s="183"/>
      <c r="D89" s="183"/>
      <c r="E89" s="183"/>
      <c r="F89" s="183"/>
      <c r="G89" s="183"/>
      <c r="H89" s="183"/>
      <c r="I89" s="183"/>
      <c r="J89" s="183"/>
      <c r="K89" s="183"/>
      <c r="L89" s="183"/>
      <c r="M89" s="183"/>
      <c r="N89" s="172" t="s">
        <v>34</v>
      </c>
      <c r="O89" s="172"/>
      <c r="P89" s="12">
        <f>'Start Here'!$C$16</f>
        <v>2023</v>
      </c>
    </row>
    <row r="90" spans="1:20" ht="15" customHeight="1" x14ac:dyDescent="0.25">
      <c r="A90" s="192" t="s">
        <v>712</v>
      </c>
      <c r="B90" s="192" t="s">
        <v>617</v>
      </c>
      <c r="C90" s="221"/>
      <c r="D90" s="185" t="s">
        <v>734</v>
      </c>
      <c r="E90" s="175"/>
      <c r="F90" s="175"/>
      <c r="G90" s="175"/>
      <c r="H90" s="175"/>
      <c r="I90" s="175"/>
      <c r="J90" s="175"/>
      <c r="K90" s="175"/>
      <c r="L90" s="176"/>
      <c r="M90" s="192" t="s">
        <v>618</v>
      </c>
    </row>
    <row r="91" spans="1:20" ht="51.75" customHeight="1" x14ac:dyDescent="0.25">
      <c r="A91" s="220"/>
      <c r="B91" s="220"/>
      <c r="C91" s="222"/>
      <c r="D91" s="51" t="s">
        <v>11</v>
      </c>
      <c r="E91" s="51" t="s">
        <v>10</v>
      </c>
      <c r="F91" s="51" t="s">
        <v>9</v>
      </c>
      <c r="G91" s="51" t="s">
        <v>8</v>
      </c>
      <c r="H91" s="51" t="s">
        <v>718</v>
      </c>
      <c r="I91" s="51" t="s">
        <v>6</v>
      </c>
      <c r="J91" s="51" t="s">
        <v>5</v>
      </c>
      <c r="K91" s="51" t="s">
        <v>4</v>
      </c>
      <c r="L91" s="54" t="s">
        <v>711</v>
      </c>
      <c r="M91" s="220"/>
      <c r="R91" s="7"/>
    </row>
    <row r="92" spans="1:20" ht="15" customHeight="1" x14ac:dyDescent="0.25">
      <c r="A92" s="59" t="s">
        <v>658</v>
      </c>
      <c r="B92" s="218">
        <f t="shared" ref="B92:B100" si="20">COUNTIFS(PendingMSO, $A92, PendingCloseDate, "&gt;="&amp;$B$9, PendingCloseDate, "&lt;="&amp;$B$10, PendingStatus, "Closed")+COUNTIFS(OpenedMSO, $A92, OpenedCloseDate, "&gt;="&amp;$B$9, OpenedCloseDate,"&lt;="&amp;$B$10, OpenedStatus, "Closed")</f>
        <v>0</v>
      </c>
      <c r="C92" s="219"/>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5">
        <f t="shared" si="20"/>
        <v>0</v>
      </c>
      <c r="C93" s="216"/>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203">
        <f t="shared" si="20"/>
        <v>0</v>
      </c>
      <c r="C94" s="204"/>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5">
        <f t="shared" si="20"/>
        <v>0</v>
      </c>
      <c r="C95" s="216"/>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203">
        <f t="shared" si="20"/>
        <v>0</v>
      </c>
      <c r="C96" s="204"/>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5">
        <f t="shared" si="20"/>
        <v>0</v>
      </c>
      <c r="C97" s="216"/>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203">
        <f t="shared" si="20"/>
        <v>0</v>
      </c>
      <c r="C98" s="204"/>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5">
        <f t="shared" si="20"/>
        <v>0</v>
      </c>
      <c r="C99" s="216"/>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201">
        <f t="shared" si="20"/>
        <v>0</v>
      </c>
      <c r="C100" s="202"/>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5">
        <f>SUM(B92:C100)</f>
        <v>0</v>
      </c>
      <c r="C101" s="215"/>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7" t="s">
        <v>716</v>
      </c>
      <c r="B102" s="217"/>
      <c r="C102" s="217"/>
      <c r="D102" s="217"/>
      <c r="E102" s="217"/>
      <c r="F102" s="217"/>
      <c r="G102" s="217"/>
      <c r="H102" s="217"/>
      <c r="I102" s="217"/>
      <c r="J102" s="217"/>
      <c r="K102" s="217"/>
      <c r="L102" s="217"/>
      <c r="M102" s="217"/>
      <c r="N102" s="217"/>
      <c r="O102" s="217"/>
      <c r="P102" s="217"/>
      <c r="Q102" s="217"/>
    </row>
    <row r="103" spans="1:19" x14ac:dyDescent="0.25">
      <c r="A103" s="217" t="s">
        <v>717</v>
      </c>
      <c r="B103" s="217"/>
      <c r="C103" s="217"/>
      <c r="D103" s="217"/>
      <c r="E103" s="217"/>
      <c r="F103" s="217"/>
      <c r="G103" s="217"/>
      <c r="H103" s="217"/>
      <c r="I103" s="217"/>
      <c r="J103" s="217"/>
      <c r="K103" s="217"/>
      <c r="L103" s="217"/>
      <c r="M103" s="217"/>
      <c r="N103" s="217"/>
      <c r="O103" s="217"/>
      <c r="P103" s="217"/>
      <c r="Q103" s="217"/>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8" t="s">
        <v>645</v>
      </c>
      <c r="C106" s="208"/>
      <c r="D106" s="208"/>
      <c r="E106" s="209" t="s">
        <v>635</v>
      </c>
      <c r="F106" s="208"/>
      <c r="G106" s="208"/>
      <c r="H106" s="209" t="s">
        <v>631</v>
      </c>
      <c r="I106" s="208"/>
      <c r="J106" s="210"/>
      <c r="K106" s="197" t="s">
        <v>729</v>
      </c>
      <c r="L106" s="197"/>
    </row>
    <row r="107" spans="1:19" ht="30.75" customHeight="1" x14ac:dyDescent="0.25">
      <c r="B107" s="211" t="s">
        <v>25</v>
      </c>
      <c r="C107" s="212"/>
      <c r="D107" s="212"/>
      <c r="E107" s="211" t="s">
        <v>25</v>
      </c>
      <c r="F107" s="212"/>
      <c r="G107" s="212"/>
      <c r="H107" s="49"/>
      <c r="I107" s="132" t="s">
        <v>25</v>
      </c>
      <c r="J107" s="130"/>
      <c r="K107" s="213" t="s">
        <v>637</v>
      </c>
      <c r="L107" s="214"/>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7" t="str">
        <f>$B$8&amp;": Cases Opened and Closed, Alleged Other Rule Violations"</f>
        <v>Q2: Cases Opened and Closed, Alleged Other Rule Violations</v>
      </c>
      <c r="B120" s="207"/>
      <c r="C120" s="207"/>
      <c r="D120" s="207"/>
      <c r="E120" s="207"/>
      <c r="F120" s="207"/>
      <c r="G120" s="207"/>
      <c r="H120" s="207"/>
      <c r="I120" s="207"/>
      <c r="J120" s="207"/>
      <c r="K120" s="207"/>
      <c r="L120" s="207"/>
      <c r="M120" s="207"/>
      <c r="N120" s="207"/>
      <c r="O120" s="207"/>
      <c r="P120" s="207"/>
      <c r="Q120" s="207"/>
    </row>
    <row r="121" spans="1:17" x14ac:dyDescent="0.25">
      <c r="A121" s="207"/>
      <c r="B121" s="207"/>
      <c r="C121" s="207"/>
      <c r="D121" s="207"/>
      <c r="E121" s="207"/>
      <c r="F121" s="207"/>
      <c r="G121" s="207"/>
      <c r="H121" s="207"/>
      <c r="I121" s="207"/>
      <c r="J121" s="207"/>
      <c r="K121" s="207"/>
      <c r="L121" s="207"/>
      <c r="M121" s="207"/>
      <c r="N121" s="207"/>
      <c r="O121" s="207"/>
      <c r="P121" s="207"/>
      <c r="Q121" s="207"/>
    </row>
    <row r="122" spans="1:17" ht="21" x14ac:dyDescent="0.25">
      <c r="A122" s="183" t="s">
        <v>719</v>
      </c>
      <c r="B122" s="183"/>
      <c r="C122" s="183"/>
      <c r="D122" s="183"/>
      <c r="E122" s="183"/>
      <c r="F122" s="183"/>
      <c r="G122" s="183"/>
      <c r="H122" s="183"/>
      <c r="I122" s="183"/>
      <c r="J122" s="183"/>
      <c r="K122" s="183"/>
      <c r="L122" s="183"/>
      <c r="M122" s="172" t="s">
        <v>33</v>
      </c>
      <c r="N122" s="172"/>
      <c r="O122" s="184" t="str">
        <f>'Start Here'!C$13</f>
        <v>Wharton Police Department</v>
      </c>
      <c r="P122" s="184"/>
      <c r="Q122" s="184"/>
    </row>
    <row r="123" spans="1:17" x14ac:dyDescent="0.25">
      <c r="D123" s="175" t="s">
        <v>25</v>
      </c>
      <c r="E123" s="175"/>
      <c r="F123" s="175"/>
      <c r="G123" s="175"/>
      <c r="H123" s="175"/>
      <c r="I123" s="175"/>
      <c r="J123" s="175"/>
      <c r="K123" s="175"/>
      <c r="L123" s="175"/>
      <c r="M123" s="172" t="s">
        <v>34</v>
      </c>
      <c r="N123" s="172"/>
      <c r="O123" s="12">
        <f>'Start Here'!$C$16</f>
        <v>2023</v>
      </c>
    </row>
    <row r="124" spans="1:17" x14ac:dyDescent="0.25">
      <c r="C124" s="65"/>
      <c r="D124" s="203" t="s">
        <v>32</v>
      </c>
      <c r="E124" s="203"/>
      <c r="F124" s="203"/>
      <c r="G124" s="205" t="s">
        <v>624</v>
      </c>
      <c r="H124" s="203"/>
      <c r="I124" s="203"/>
      <c r="J124" s="206" t="s">
        <v>646</v>
      </c>
      <c r="K124" s="186"/>
      <c r="L124" s="186"/>
    </row>
    <row r="125" spans="1:17" ht="16.5" customHeight="1" x14ac:dyDescent="0.25">
      <c r="A125" s="201" t="s">
        <v>736</v>
      </c>
      <c r="B125" s="201"/>
      <c r="C125" s="202"/>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8" t="s">
        <v>720</v>
      </c>
      <c r="O127" s="189"/>
      <c r="P127" s="190"/>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91"/>
      <c r="O128" s="192"/>
      <c r="P128" s="193"/>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91"/>
      <c r="O129" s="192"/>
      <c r="P129" s="193"/>
    </row>
    <row r="130" spans="1:23" x14ac:dyDescent="0.25">
      <c r="A130" s="1" t="s">
        <v>660</v>
      </c>
      <c r="C130" s="65"/>
      <c r="D130" s="29">
        <f t="shared" si="31"/>
        <v>1</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91"/>
      <c r="O130" s="192"/>
      <c r="P130" s="193"/>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91"/>
      <c r="O131" s="192"/>
      <c r="P131" s="193"/>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91"/>
      <c r="O132" s="192"/>
      <c r="P132" s="193"/>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91"/>
      <c r="O133" s="192"/>
      <c r="P133" s="193"/>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91"/>
      <c r="O134" s="192"/>
      <c r="P134" s="193"/>
    </row>
    <row r="135" spans="1:23" ht="15.75" thickBot="1" x14ac:dyDescent="0.3">
      <c r="A135" s="2" t="s">
        <v>675</v>
      </c>
      <c r="B135" s="67"/>
      <c r="C135" s="71"/>
      <c r="D135" s="30">
        <f t="shared" si="31"/>
        <v>0</v>
      </c>
      <c r="E135" s="30">
        <f t="shared" si="31"/>
        <v>0</v>
      </c>
      <c r="F135" s="31">
        <f t="shared" si="31"/>
        <v>0</v>
      </c>
      <c r="G135" s="30">
        <f t="shared" si="32"/>
        <v>1</v>
      </c>
      <c r="H135" s="30">
        <f t="shared" si="32"/>
        <v>0</v>
      </c>
      <c r="I135" s="31">
        <f t="shared" si="32"/>
        <v>0</v>
      </c>
      <c r="J135" s="67">
        <f t="shared" si="33"/>
        <v>0</v>
      </c>
      <c r="K135" s="67" t="str">
        <f t="shared" si="33"/>
        <v/>
      </c>
      <c r="L135" s="67" t="str">
        <f t="shared" si="33"/>
        <v/>
      </c>
      <c r="N135" s="194"/>
      <c r="O135" s="195"/>
      <c r="P135" s="196"/>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2</v>
      </c>
      <c r="I141" s="68">
        <f t="shared" si="32"/>
        <v>0</v>
      </c>
      <c r="J141" s="67" t="str">
        <f t="shared" si="33"/>
        <v/>
      </c>
      <c r="K141" s="67">
        <f t="shared" si="33"/>
        <v>0</v>
      </c>
      <c r="L141" s="67" t="str">
        <f t="shared" si="33"/>
        <v/>
      </c>
    </row>
    <row r="142" spans="1:23" x14ac:dyDescent="0.25">
      <c r="D142" s="70">
        <f t="shared" ref="D142" si="34">SUM(D126:D141)</f>
        <v>2</v>
      </c>
      <c r="E142" s="69">
        <f>SUM(E126:E141)</f>
        <v>0</v>
      </c>
      <c r="F142" s="69">
        <f>SUM(F126:F141)</f>
        <v>0</v>
      </c>
      <c r="G142" s="70">
        <f t="shared" ref="G142:H142" si="35">SUM(G126:G141)</f>
        <v>1</v>
      </c>
      <c r="H142" s="69">
        <f t="shared" si="35"/>
        <v>2</v>
      </c>
      <c r="I142" s="69">
        <f>SUM(I126:I141)</f>
        <v>0</v>
      </c>
      <c r="J142" s="70">
        <f>IF(G142=0,"",(SUMIFS(OpenedNInitial,OpenedComplaintSource,H$57,OpenedComplaintReceived,"&gt;="&amp;$B$9,OpenedComplaintReceived,"&lt;="&amp;$B$10)/G142))</f>
        <v>0</v>
      </c>
      <c r="K142" s="69">
        <f>IF(H142=0,"",(SUMIFS(OpenedNInitial,OpenedComplaintSource,I$57,OpenedComplaintReceived,"&gt;="&amp;$B$9,OpenedComplaintReceived,"&lt;="&amp;$B$10)/H142))</f>
        <v>0</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83" t="s">
        <v>693</v>
      </c>
      <c r="B144" s="183"/>
      <c r="C144" s="183"/>
      <c r="D144" s="183"/>
      <c r="E144" s="183"/>
      <c r="F144" s="183"/>
      <c r="G144" s="183"/>
      <c r="H144" s="183"/>
      <c r="I144" s="183"/>
      <c r="J144" s="183"/>
      <c r="K144" s="183"/>
      <c r="L144" s="183"/>
      <c r="M144" s="183"/>
      <c r="N144" s="183"/>
      <c r="O144" s="183"/>
      <c r="P144" s="183"/>
      <c r="Q144" s="183"/>
    </row>
    <row r="145" spans="1:17" x14ac:dyDescent="0.25">
      <c r="D145" s="185" t="s">
        <v>634</v>
      </c>
      <c r="E145" s="175"/>
      <c r="F145" s="176"/>
      <c r="G145" s="185" t="s">
        <v>25</v>
      </c>
      <c r="H145" s="175"/>
      <c r="I145" s="176"/>
      <c r="J145" s="185" t="s">
        <v>614</v>
      </c>
      <c r="K145" s="175"/>
      <c r="L145" s="175"/>
      <c r="M145" s="176"/>
      <c r="N145" s="185" t="s">
        <v>605</v>
      </c>
      <c r="O145" s="175"/>
      <c r="P145" s="175"/>
      <c r="Q145" s="175"/>
    </row>
    <row r="146" spans="1:17" ht="45" x14ac:dyDescent="0.25">
      <c r="A146" s="201" t="s">
        <v>736</v>
      </c>
      <c r="B146" s="201"/>
      <c r="C146" s="202"/>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82" t="str">
        <f>$B$8&amp;": Cases Closed, Alleged Other Rule Violations"</f>
        <v>Q2: Cases Closed, Alleged Other Rule Violations</v>
      </c>
      <c r="B165" s="182"/>
      <c r="C165" s="182"/>
      <c r="D165" s="182"/>
      <c r="E165" s="182"/>
      <c r="F165" s="182"/>
      <c r="G165" s="182"/>
      <c r="H165" s="182"/>
      <c r="I165" s="182"/>
      <c r="J165" s="182"/>
      <c r="K165" s="182"/>
      <c r="L165" s="182"/>
      <c r="M165" s="182"/>
      <c r="N165" s="182"/>
      <c r="O165" s="182"/>
      <c r="P165" s="182"/>
      <c r="Q165" s="182"/>
    </row>
    <row r="166" spans="1:17" x14ac:dyDescent="0.25">
      <c r="A166" s="182"/>
      <c r="B166" s="182"/>
      <c r="C166" s="182"/>
      <c r="D166" s="182"/>
      <c r="E166" s="182"/>
      <c r="F166" s="182"/>
      <c r="G166" s="182"/>
      <c r="H166" s="182"/>
      <c r="I166" s="182"/>
      <c r="J166" s="182"/>
      <c r="K166" s="182"/>
      <c r="L166" s="182"/>
      <c r="M166" s="182"/>
      <c r="N166" s="182"/>
      <c r="O166" s="182"/>
      <c r="P166" s="182"/>
      <c r="Q166" s="182"/>
    </row>
    <row r="167" spans="1:17" ht="21" customHeight="1" x14ac:dyDescent="0.25">
      <c r="A167" s="183" t="s">
        <v>737</v>
      </c>
      <c r="B167" s="183"/>
      <c r="C167" s="183"/>
      <c r="D167" s="183"/>
      <c r="E167" s="183"/>
      <c r="F167" s="183"/>
      <c r="G167" s="183"/>
      <c r="H167" s="183"/>
      <c r="I167" s="183"/>
      <c r="J167" s="183"/>
      <c r="K167" s="183"/>
      <c r="L167" s="183"/>
      <c r="M167" s="172" t="s">
        <v>33</v>
      </c>
      <c r="N167" s="172"/>
      <c r="O167" s="184" t="str">
        <f>'Start Here'!C$13</f>
        <v>Wharton Police Department</v>
      </c>
      <c r="P167" s="184"/>
      <c r="Q167" s="184"/>
    </row>
    <row r="168" spans="1:17" ht="36" customHeight="1" x14ac:dyDescent="0.25">
      <c r="C168" s="65"/>
      <c r="D168" s="200" t="s">
        <v>645</v>
      </c>
      <c r="E168" s="200"/>
      <c r="F168" s="199"/>
      <c r="G168" s="198" t="s">
        <v>635</v>
      </c>
      <c r="H168" s="200"/>
      <c r="I168" s="199"/>
      <c r="J168" s="198" t="s">
        <v>631</v>
      </c>
      <c r="K168" s="200"/>
      <c r="L168" s="200"/>
      <c r="M168" s="172" t="s">
        <v>34</v>
      </c>
      <c r="N168" s="172"/>
      <c r="O168" s="12">
        <f>'Start Here'!$C$16</f>
        <v>2023</v>
      </c>
    </row>
    <row r="169" spans="1:17" x14ac:dyDescent="0.25">
      <c r="D169" s="185" t="s">
        <v>25</v>
      </c>
      <c r="E169" s="175"/>
      <c r="F169" s="176"/>
      <c r="G169" s="185" t="s">
        <v>25</v>
      </c>
      <c r="H169" s="175"/>
      <c r="I169" s="176"/>
      <c r="J169" s="185" t="s">
        <v>25</v>
      </c>
      <c r="K169" s="175"/>
      <c r="L169" s="175"/>
    </row>
    <row r="170" spans="1:17" ht="15.75" customHeight="1" x14ac:dyDescent="0.25">
      <c r="A170" s="186" t="s">
        <v>733</v>
      </c>
      <c r="B170" s="186"/>
      <c r="C170" s="187"/>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8" t="s">
        <v>724</v>
      </c>
      <c r="O172" s="189"/>
      <c r="P172" s="190"/>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91"/>
      <c r="O173" s="192"/>
      <c r="P173" s="193"/>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91"/>
      <c r="O174" s="192"/>
      <c r="P174" s="193"/>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91"/>
      <c r="O175" s="192"/>
      <c r="P175" s="193"/>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91"/>
      <c r="O176" s="192"/>
      <c r="P176" s="193"/>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91"/>
      <c r="O177" s="192"/>
      <c r="P177" s="193"/>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91"/>
      <c r="O178" s="192"/>
      <c r="P178" s="193"/>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91"/>
      <c r="O179" s="192"/>
      <c r="P179" s="193"/>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91"/>
      <c r="O180" s="192"/>
      <c r="P180" s="193"/>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91"/>
      <c r="O181" s="192"/>
      <c r="P181" s="193"/>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91"/>
      <c r="O182" s="192"/>
      <c r="P182" s="193"/>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91"/>
      <c r="O183" s="192"/>
      <c r="P183" s="193"/>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91"/>
      <c r="O184" s="192"/>
      <c r="P184" s="193"/>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91"/>
      <c r="O185" s="192"/>
      <c r="P185" s="193"/>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94"/>
      <c r="O186" s="195"/>
      <c r="P186" s="196"/>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7" t="s">
        <v>721</v>
      </c>
      <c r="B189" s="197"/>
      <c r="C189" s="197"/>
      <c r="D189" s="197"/>
      <c r="E189" s="197"/>
      <c r="F189" s="197"/>
      <c r="G189" s="197"/>
      <c r="H189" s="197"/>
      <c r="I189" s="197"/>
      <c r="J189" s="197"/>
      <c r="K189" s="197"/>
      <c r="L189" s="197"/>
      <c r="M189" s="140"/>
      <c r="N189" s="140"/>
      <c r="O189" s="140"/>
      <c r="Q189" s="98"/>
    </row>
    <row r="190" spans="1:17" ht="40.5" customHeight="1" x14ac:dyDescent="0.25">
      <c r="A190" s="140"/>
      <c r="B190" s="140"/>
      <c r="C190" s="105"/>
      <c r="D190" s="200" t="s">
        <v>722</v>
      </c>
      <c r="E190" s="199"/>
      <c r="F190" s="200" t="s">
        <v>732</v>
      </c>
      <c r="G190" s="200"/>
      <c r="H190" s="140"/>
      <c r="I190" s="140"/>
      <c r="J190" s="140"/>
      <c r="K190" s="140"/>
      <c r="L190" s="140"/>
      <c r="M190" s="140"/>
      <c r="N190" s="140"/>
      <c r="O190" s="140"/>
      <c r="Q190" s="98"/>
    </row>
    <row r="191" spans="1:17" ht="33" customHeight="1" x14ac:dyDescent="0.25">
      <c r="D191" s="177" t="s">
        <v>723</v>
      </c>
      <c r="E191" s="178"/>
      <c r="F191" s="177" t="s">
        <v>723</v>
      </c>
      <c r="G191" s="179"/>
      <c r="H191" s="101"/>
      <c r="Q191" s="98"/>
    </row>
    <row r="192" spans="1:17" ht="45" customHeight="1" x14ac:dyDescent="0.25">
      <c r="A192" s="180" t="s">
        <v>725</v>
      </c>
      <c r="B192" s="180"/>
      <c r="C192" s="181"/>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82" t="str">
        <f>$B$8&amp;": Cases Opened and Closed, Alleged Criminal Violations"</f>
        <v>Q2: Cases Opened and Closed, Alleged Criminal Violations</v>
      </c>
      <c r="B210" s="182"/>
      <c r="C210" s="182"/>
      <c r="D210" s="182"/>
      <c r="E210" s="182"/>
      <c r="F210" s="182"/>
      <c r="G210" s="182"/>
      <c r="H210" s="182"/>
      <c r="I210" s="182"/>
      <c r="J210" s="182"/>
      <c r="K210" s="182"/>
      <c r="L210" s="182"/>
      <c r="M210" s="182"/>
      <c r="N210" s="182"/>
      <c r="O210" s="182"/>
      <c r="P210" s="182"/>
      <c r="Q210" s="182"/>
    </row>
    <row r="211" spans="1:17" x14ac:dyDescent="0.25">
      <c r="A211" s="182"/>
      <c r="B211" s="182"/>
      <c r="C211" s="182"/>
      <c r="D211" s="182"/>
      <c r="E211" s="182"/>
      <c r="F211" s="182"/>
      <c r="G211" s="182"/>
      <c r="H211" s="182"/>
      <c r="I211" s="182"/>
      <c r="J211" s="182"/>
      <c r="K211" s="182"/>
      <c r="L211" s="182"/>
      <c r="M211" s="182"/>
      <c r="N211" s="182"/>
      <c r="O211" s="182"/>
      <c r="P211" s="182"/>
      <c r="Q211" s="182"/>
    </row>
    <row r="212" spans="1:17" ht="21" x14ac:dyDescent="0.25">
      <c r="A212" s="183" t="s">
        <v>694</v>
      </c>
      <c r="B212" s="183"/>
      <c r="C212" s="183"/>
      <c r="D212" s="183"/>
      <c r="E212" s="183"/>
      <c r="F212" s="183"/>
      <c r="G212" s="183"/>
      <c r="H212" s="183"/>
      <c r="I212" s="183"/>
      <c r="J212" s="183"/>
      <c r="K212" s="183"/>
      <c r="L212" s="183"/>
      <c r="M212" s="183"/>
      <c r="N212" s="183"/>
      <c r="O212" s="183"/>
      <c r="P212" s="183"/>
      <c r="Q212" s="183"/>
    </row>
    <row r="213" spans="1:17" x14ac:dyDescent="0.25">
      <c r="D213" s="175" t="s">
        <v>25</v>
      </c>
      <c r="E213" s="175"/>
      <c r="F213" s="175"/>
      <c r="G213" s="175"/>
      <c r="H213" s="175"/>
      <c r="I213" s="175"/>
      <c r="J213" s="175"/>
      <c r="K213" s="175"/>
      <c r="L213" s="175"/>
      <c r="M213" s="172" t="s">
        <v>33</v>
      </c>
      <c r="N213" s="172"/>
      <c r="O213" s="184" t="str">
        <f>'Start Here'!C$13</f>
        <v>Wharton Police Department</v>
      </c>
      <c r="P213" s="184"/>
      <c r="Q213" s="184"/>
    </row>
    <row r="214" spans="1:17" ht="15" customHeight="1" x14ac:dyDescent="0.25">
      <c r="C214" s="203" t="s">
        <v>32</v>
      </c>
      <c r="D214" s="203"/>
      <c r="E214" s="204"/>
      <c r="F214" s="205" t="s">
        <v>624</v>
      </c>
      <c r="G214" s="203"/>
      <c r="H214" s="204"/>
      <c r="I214" s="206" t="s">
        <v>646</v>
      </c>
      <c r="J214" s="186"/>
      <c r="K214" s="186"/>
      <c r="M214" s="172" t="s">
        <v>34</v>
      </c>
      <c r="N214" s="172"/>
      <c r="O214" s="12">
        <f>'Start Here'!$C$16</f>
        <v>2023</v>
      </c>
    </row>
    <row r="215" spans="1:17" ht="16.5" customHeight="1" x14ac:dyDescent="0.25">
      <c r="A215" s="201" t="s">
        <v>738</v>
      </c>
      <c r="B215" s="201"/>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8" t="s">
        <v>726</v>
      </c>
      <c r="O217" s="189"/>
      <c r="P217" s="190"/>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91"/>
      <c r="O218" s="192"/>
      <c r="P218" s="193"/>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91"/>
      <c r="O219" s="192"/>
      <c r="P219" s="193"/>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91"/>
      <c r="O220" s="192"/>
      <c r="P220" s="193"/>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91"/>
      <c r="O221" s="192"/>
      <c r="P221" s="193"/>
    </row>
    <row r="222" spans="1:17" x14ac:dyDescent="0.25">
      <c r="A222" s="1" t="s">
        <v>686</v>
      </c>
      <c r="B222" s="66"/>
      <c r="C222" s="29">
        <f t="shared" si="53"/>
        <v>3</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91"/>
      <c r="O222" s="192"/>
      <c r="P222" s="193"/>
    </row>
    <row r="223" spans="1:17" ht="15.75" thickBot="1" x14ac:dyDescent="0.3">
      <c r="A223" s="73"/>
      <c r="B223" s="73"/>
      <c r="C223" s="70">
        <f t="shared" ref="C223:H223" si="56">SUM(C216:C222)</f>
        <v>3</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94"/>
      <c r="O223" s="195"/>
      <c r="P223" s="196"/>
    </row>
    <row r="224" spans="1:17" x14ac:dyDescent="0.25">
      <c r="O224" s="98"/>
      <c r="P224" s="98"/>
      <c r="Q224" s="98"/>
    </row>
    <row r="225" spans="1:17" ht="21" x14ac:dyDescent="0.25">
      <c r="A225" s="183" t="s">
        <v>695</v>
      </c>
      <c r="B225" s="183"/>
      <c r="C225" s="183"/>
      <c r="D225" s="183"/>
      <c r="E225" s="183"/>
      <c r="F225" s="183"/>
      <c r="G225" s="183"/>
      <c r="H225" s="183"/>
      <c r="I225" s="183"/>
      <c r="J225" s="183"/>
      <c r="K225" s="183"/>
      <c r="L225" s="183"/>
      <c r="M225" s="183"/>
      <c r="N225" s="183"/>
      <c r="O225" s="183"/>
      <c r="P225" s="183"/>
      <c r="Q225" s="183"/>
    </row>
    <row r="226" spans="1:17" x14ac:dyDescent="0.25">
      <c r="C226" s="185" t="s">
        <v>634</v>
      </c>
      <c r="D226" s="175"/>
      <c r="E226" s="176"/>
      <c r="F226" s="185" t="s">
        <v>25</v>
      </c>
      <c r="G226" s="175"/>
      <c r="H226" s="176"/>
      <c r="I226" s="185" t="s">
        <v>614</v>
      </c>
      <c r="J226" s="175"/>
      <c r="K226" s="175"/>
      <c r="L226" s="176"/>
      <c r="M226" s="185" t="s">
        <v>605</v>
      </c>
      <c r="N226" s="175"/>
      <c r="O226" s="175"/>
      <c r="P226" s="175"/>
    </row>
    <row r="227" spans="1:17" ht="32.25" customHeight="1" x14ac:dyDescent="0.25">
      <c r="A227" s="201" t="s">
        <v>738</v>
      </c>
      <c r="B227" s="202"/>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82" t="str">
        <f>$B$8&amp;": Cases Closed, Alleged Criminal Violations"</f>
        <v>Q2: Cases Closed, Alleged Criminal Violations</v>
      </c>
      <c r="B237" s="182"/>
      <c r="C237" s="182"/>
      <c r="D237" s="182"/>
      <c r="E237" s="182"/>
      <c r="F237" s="182"/>
      <c r="G237" s="182"/>
      <c r="H237" s="182"/>
      <c r="I237" s="182"/>
      <c r="J237" s="182"/>
      <c r="K237" s="182"/>
      <c r="L237" s="182"/>
      <c r="M237" s="182"/>
      <c r="N237" s="182"/>
      <c r="O237" s="182"/>
      <c r="P237" s="182"/>
      <c r="Q237" s="182"/>
    </row>
    <row r="238" spans="1:17" x14ac:dyDescent="0.25">
      <c r="A238" s="182"/>
      <c r="B238" s="182"/>
      <c r="C238" s="182"/>
      <c r="D238" s="182"/>
      <c r="E238" s="182"/>
      <c r="F238" s="182"/>
      <c r="G238" s="182"/>
      <c r="H238" s="182"/>
      <c r="I238" s="182"/>
      <c r="J238" s="182"/>
      <c r="K238" s="182"/>
      <c r="L238" s="182"/>
      <c r="M238" s="182"/>
      <c r="N238" s="182"/>
      <c r="O238" s="182"/>
      <c r="P238" s="182"/>
      <c r="Q238" s="182"/>
    </row>
    <row r="239" spans="1:17" ht="21" x14ac:dyDescent="0.25">
      <c r="A239" s="183" t="s">
        <v>704</v>
      </c>
      <c r="B239" s="183"/>
      <c r="C239" s="183"/>
      <c r="D239" s="183"/>
      <c r="E239" s="183"/>
      <c r="F239" s="183"/>
      <c r="G239" s="183"/>
      <c r="H239" s="183"/>
      <c r="I239" s="183"/>
      <c r="J239" s="183"/>
      <c r="K239" s="183"/>
      <c r="L239" s="183"/>
      <c r="M239" s="172" t="s">
        <v>33</v>
      </c>
      <c r="N239" s="172"/>
      <c r="O239" s="184" t="str">
        <f>'Start Here'!C$13</f>
        <v>Wharton Police Department</v>
      </c>
      <c r="P239" s="184"/>
      <c r="Q239" s="184"/>
    </row>
    <row r="240" spans="1:17" ht="43.15" customHeight="1" x14ac:dyDescent="0.25">
      <c r="C240" s="65"/>
      <c r="D240" s="200" t="s">
        <v>645</v>
      </c>
      <c r="E240" s="200"/>
      <c r="F240" s="199"/>
      <c r="G240" s="198" t="s">
        <v>635</v>
      </c>
      <c r="H240" s="200"/>
      <c r="I240" s="199"/>
      <c r="J240" s="198" t="s">
        <v>631</v>
      </c>
      <c r="K240" s="200"/>
      <c r="L240" s="200"/>
      <c r="M240" s="172" t="s">
        <v>34</v>
      </c>
      <c r="N240" s="172"/>
      <c r="O240" s="12">
        <f>'Start Here'!$C$16</f>
        <v>2023</v>
      </c>
    </row>
    <row r="241" spans="1:17" x14ac:dyDescent="0.25">
      <c r="D241" s="185" t="s">
        <v>25</v>
      </c>
      <c r="E241" s="175"/>
      <c r="F241" s="176"/>
      <c r="G241" s="185" t="s">
        <v>25</v>
      </c>
      <c r="H241" s="175"/>
      <c r="I241" s="176"/>
      <c r="J241" s="185" t="s">
        <v>25</v>
      </c>
      <c r="K241" s="175"/>
      <c r="L241" s="175"/>
    </row>
    <row r="242" spans="1:17" ht="30" x14ac:dyDescent="0.25">
      <c r="A242" s="186" t="s">
        <v>739</v>
      </c>
      <c r="B242" s="186"/>
      <c r="C242" s="187"/>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8" t="s">
        <v>727</v>
      </c>
      <c r="O244" s="189"/>
      <c r="P244" s="190"/>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91"/>
      <c r="O245" s="192"/>
      <c r="P245" s="193"/>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91"/>
      <c r="O246" s="192"/>
      <c r="P246" s="193"/>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91"/>
      <c r="O247" s="192"/>
      <c r="P247" s="193"/>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91"/>
      <c r="O248" s="192"/>
      <c r="P248" s="193"/>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91"/>
      <c r="O249" s="192"/>
      <c r="P249" s="193"/>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91"/>
      <c r="O250" s="192"/>
      <c r="P250" s="193"/>
      <c r="Q250" s="98"/>
    </row>
    <row r="251" spans="1:17" x14ac:dyDescent="0.25">
      <c r="D251" s="98"/>
      <c r="E251" s="98"/>
      <c r="F251" s="98"/>
      <c r="G251" s="98"/>
      <c r="H251" s="98"/>
      <c r="I251" s="98"/>
      <c r="J251" s="98"/>
      <c r="K251" s="98"/>
      <c r="M251" s="33"/>
      <c r="N251" s="191"/>
      <c r="O251" s="192"/>
      <c r="P251" s="193"/>
      <c r="Q251" s="98"/>
    </row>
    <row r="252" spans="1:17" ht="48" customHeight="1" x14ac:dyDescent="0.25">
      <c r="A252" s="197" t="s">
        <v>740</v>
      </c>
      <c r="B252" s="197"/>
      <c r="C252" s="197"/>
      <c r="D252" s="197"/>
      <c r="E252" s="197"/>
      <c r="F252" s="197"/>
      <c r="G252" s="197"/>
      <c r="H252" s="101"/>
      <c r="N252" s="191"/>
      <c r="O252" s="192"/>
      <c r="P252" s="193"/>
      <c r="Q252" s="98"/>
    </row>
    <row r="253" spans="1:17" ht="47.25" customHeight="1" thickBot="1" x14ac:dyDescent="0.3">
      <c r="A253" s="140"/>
      <c r="B253" s="140"/>
      <c r="C253" s="105"/>
      <c r="D253" s="198" t="s">
        <v>722</v>
      </c>
      <c r="E253" s="199"/>
      <c r="F253" s="200" t="s">
        <v>732</v>
      </c>
      <c r="G253" s="200"/>
      <c r="H253" s="101"/>
      <c r="N253" s="194"/>
      <c r="O253" s="195"/>
      <c r="P253" s="196"/>
      <c r="Q253" s="98"/>
    </row>
    <row r="254" spans="1:17" ht="32.25" customHeight="1" x14ac:dyDescent="0.25">
      <c r="D254" s="177" t="s">
        <v>637</v>
      </c>
      <c r="E254" s="178"/>
      <c r="F254" s="179" t="s">
        <v>637</v>
      </c>
      <c r="G254" s="179"/>
      <c r="H254" s="101"/>
      <c r="N254" s="108"/>
      <c r="O254" s="108"/>
      <c r="P254" s="108"/>
      <c r="Q254" s="98"/>
    </row>
    <row r="255" spans="1:17" ht="45" customHeight="1" x14ac:dyDescent="0.25">
      <c r="A255" s="180" t="s">
        <v>738</v>
      </c>
      <c r="B255" s="180"/>
      <c r="C255" s="181"/>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82" t="str">
        <f>$B$8&amp;": Discipline Issued"</f>
        <v>Q2: Discipline Issued</v>
      </c>
      <c r="B265" s="182"/>
      <c r="C265" s="182"/>
      <c r="D265" s="182"/>
      <c r="E265" s="182"/>
      <c r="F265" s="182"/>
      <c r="G265" s="182"/>
      <c r="H265" s="182"/>
      <c r="I265" s="182"/>
      <c r="J265" s="182"/>
      <c r="K265" s="182"/>
      <c r="L265" s="182"/>
      <c r="M265" s="182"/>
      <c r="N265" s="182"/>
      <c r="O265" s="182"/>
      <c r="P265" s="182"/>
      <c r="Q265" s="182"/>
    </row>
    <row r="266" spans="1:17" x14ac:dyDescent="0.25">
      <c r="A266" s="182"/>
      <c r="B266" s="182"/>
      <c r="C266" s="182"/>
      <c r="D266" s="182"/>
      <c r="E266" s="182"/>
      <c r="F266" s="182"/>
      <c r="G266" s="182"/>
      <c r="H266" s="182"/>
      <c r="I266" s="182"/>
      <c r="J266" s="182"/>
      <c r="K266" s="182"/>
      <c r="L266" s="182"/>
      <c r="M266" s="182"/>
      <c r="N266" s="182"/>
      <c r="O266" s="182"/>
      <c r="P266" s="182"/>
      <c r="Q266" s="182"/>
    </row>
    <row r="267" spans="1:17" ht="21" customHeight="1" x14ac:dyDescent="0.25">
      <c r="A267" s="183" t="s">
        <v>728</v>
      </c>
      <c r="B267" s="183"/>
      <c r="C267" s="183"/>
      <c r="D267" s="183"/>
      <c r="E267" s="183"/>
      <c r="F267" s="183"/>
      <c r="G267" s="183"/>
      <c r="H267" s="183"/>
      <c r="I267" s="183"/>
      <c r="J267" s="183"/>
      <c r="K267" s="183"/>
      <c r="L267" s="183"/>
      <c r="M267" s="183"/>
      <c r="N267" s="183"/>
      <c r="O267" s="183"/>
      <c r="P267" s="183"/>
      <c r="Q267" s="183"/>
    </row>
    <row r="268" spans="1:17" ht="75" x14ac:dyDescent="0.25">
      <c r="A268" s="173" t="s">
        <v>701</v>
      </c>
      <c r="B268" s="173"/>
      <c r="C268" s="174"/>
      <c r="D268" s="7" t="s">
        <v>662</v>
      </c>
      <c r="E268" s="7" t="s">
        <v>663</v>
      </c>
      <c r="F268" s="7" t="s">
        <v>664</v>
      </c>
      <c r="G268" s="7" t="s">
        <v>665</v>
      </c>
      <c r="H268" s="7" t="s">
        <v>666</v>
      </c>
      <c r="I268" s="7" t="s">
        <v>667</v>
      </c>
      <c r="J268" s="7" t="s">
        <v>668</v>
      </c>
      <c r="K268" s="7" t="s">
        <v>669</v>
      </c>
      <c r="L268" s="80" t="s">
        <v>670</v>
      </c>
      <c r="M268" s="7" t="s">
        <v>702</v>
      </c>
      <c r="N268" s="172" t="s">
        <v>33</v>
      </c>
      <c r="O268" s="172"/>
      <c r="P268" s="184" t="str">
        <f>'Start Here'!C$13</f>
        <v>Wharton Police Department</v>
      </c>
      <c r="Q268" s="184"/>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72" t="s">
        <v>34</v>
      </c>
      <c r="O269" s="172"/>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73" t="s">
        <v>699</v>
      </c>
      <c r="B280" s="173"/>
      <c r="C280" s="174"/>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5" t="s">
        <v>700</v>
      </c>
      <c r="B299" s="175"/>
      <c r="C299" s="176"/>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C463-7F06-4BDD-9155-496B0BB002A6}">
  <sheetPr>
    <tabColor theme="7" tint="0.79998168889431442"/>
    <pageSetUpPr fitToPage="1"/>
  </sheetPr>
  <dimension ref="A2:AE307"/>
  <sheetViews>
    <sheetView view="pageBreakPreview" topLeftCell="A7" zoomScaleNormal="100" zoomScaleSheetLayoutView="100" zoomScalePageLayoutView="60" workbookViewId="0">
      <selection activeCell="C8" sqref="C8:O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5" t="s">
        <v>638</v>
      </c>
      <c r="B3" s="262"/>
      <c r="C3" s="262"/>
      <c r="D3" s="262"/>
      <c r="E3" s="262"/>
      <c r="F3" s="262"/>
      <c r="G3" s="262"/>
      <c r="H3" s="262"/>
      <c r="I3" s="262"/>
      <c r="J3" s="262"/>
      <c r="K3" s="262"/>
      <c r="L3" s="262"/>
      <c r="M3" s="262"/>
      <c r="N3" s="262"/>
      <c r="O3" s="262"/>
      <c r="P3" s="262"/>
      <c r="Q3" s="262"/>
    </row>
    <row r="4" spans="1:17" ht="26.1" customHeight="1" x14ac:dyDescent="0.25">
      <c r="A4" s="262" t="s">
        <v>585</v>
      </c>
      <c r="B4" s="262"/>
      <c r="C4" s="262"/>
      <c r="D4" s="262"/>
      <c r="E4" s="262"/>
      <c r="F4" s="262"/>
      <c r="G4" s="262"/>
      <c r="H4" s="262"/>
      <c r="I4" s="262"/>
      <c r="J4" s="262"/>
      <c r="K4" s="262"/>
      <c r="L4" s="262"/>
      <c r="M4" s="262"/>
      <c r="N4" s="262"/>
      <c r="O4" s="262"/>
      <c r="P4" s="262"/>
      <c r="Q4" s="262"/>
    </row>
    <row r="5" spans="1:17" ht="17.649999999999999" customHeight="1" x14ac:dyDescent="0.25">
      <c r="A5" s="186" t="s">
        <v>632</v>
      </c>
      <c r="B5" s="186"/>
      <c r="C5" s="186"/>
      <c r="D5" s="186"/>
      <c r="E5" s="186"/>
      <c r="F5" s="186"/>
      <c r="G5" s="186"/>
      <c r="H5" s="186"/>
      <c r="I5" s="186"/>
      <c r="J5" s="186"/>
      <c r="K5" s="186"/>
      <c r="L5" s="186"/>
      <c r="M5" s="186"/>
      <c r="N5" s="186"/>
      <c r="O5" s="186"/>
      <c r="P5" s="186"/>
      <c r="Q5" s="186"/>
    </row>
    <row r="6" spans="1:17" ht="22.15" customHeight="1" x14ac:dyDescent="0.25">
      <c r="A6" s="186"/>
      <c r="B6" s="186"/>
      <c r="C6" s="186"/>
      <c r="D6" s="186"/>
      <c r="E6" s="186"/>
      <c r="F6" s="186"/>
      <c r="G6" s="186"/>
      <c r="H6" s="186"/>
      <c r="I6" s="186"/>
      <c r="J6" s="186"/>
      <c r="K6" s="186"/>
      <c r="L6" s="186"/>
      <c r="M6" s="186"/>
      <c r="N6" s="186"/>
      <c r="O6" s="186"/>
      <c r="P6" s="186"/>
      <c r="Q6" s="186"/>
    </row>
    <row r="7" spans="1:17" ht="15.75" thickBot="1" x14ac:dyDescent="0.3"/>
    <row r="8" spans="1:17" ht="36" x14ac:dyDescent="0.3">
      <c r="A8" s="121" t="s">
        <v>741</v>
      </c>
      <c r="B8" s="122" t="s">
        <v>744</v>
      </c>
      <c r="C8" s="265" t="str">
        <f>$B$8&amp;" Internal Affairs Summary"</f>
        <v>Q3 Internal Affairs Summary</v>
      </c>
      <c r="D8" s="265"/>
      <c r="E8" s="265"/>
      <c r="F8" s="265"/>
      <c r="G8" s="265"/>
      <c r="H8" s="265"/>
      <c r="I8" s="265"/>
      <c r="J8" s="265"/>
      <c r="K8" s="265"/>
      <c r="L8" s="265"/>
      <c r="M8" s="265"/>
      <c r="N8" s="265"/>
      <c r="O8" s="265"/>
    </row>
    <row r="9" spans="1:17" ht="33" customHeight="1" x14ac:dyDescent="0.3">
      <c r="A9" s="123" t="s">
        <v>619</v>
      </c>
      <c r="B9" s="124">
        <f>IF($B$8 = "Q1", DATE($M$49, 1, 1), IF($B$8 = "Q2", DATE($M$49, 4, 1), IF($B$8 = "Q3", DATE($M$49, 7, 1), IF($B$8 = "Q4", DATE($M$49, 10, 1), DATE($M$49, 1, 1)))))</f>
        <v>45108</v>
      </c>
      <c r="C9" s="266">
        <f>'Start Here'!$C$16</f>
        <v>2023</v>
      </c>
      <c r="D9" s="265"/>
      <c r="E9" s="265"/>
      <c r="F9" s="265"/>
      <c r="G9" s="265"/>
      <c r="H9" s="265"/>
      <c r="I9" s="265"/>
      <c r="J9" s="265"/>
      <c r="K9" s="265"/>
      <c r="L9" s="265"/>
      <c r="M9" s="265"/>
      <c r="N9" s="265"/>
      <c r="O9" s="265"/>
      <c r="P9" s="119"/>
      <c r="Q9" s="119"/>
    </row>
    <row r="10" spans="1:17" ht="21" customHeight="1" thickBot="1" x14ac:dyDescent="0.35">
      <c r="A10" s="125" t="s">
        <v>620</v>
      </c>
      <c r="B10" s="126">
        <f>IF($B$8 = "Q1", DATE($M$49, 3, 31), IF($B$8 = "Q2", DATE($M$49, 6, 30), IF($B$8 = "Q3", DATE($M$49, 9, 30), IF($B$8 = "Q4", DATE($M$49, 12, 31), DATE($M$49, 12, 31)))))</f>
        <v>45199</v>
      </c>
      <c r="C10" s="267" t="str">
        <f>"Internal Affairs: "&amp;$B$8&amp;" Snapshot"</f>
        <v>Internal Affairs: Q3 Snapshot</v>
      </c>
      <c r="D10" s="182"/>
      <c r="E10" s="182"/>
      <c r="F10" s="182"/>
      <c r="G10" s="182"/>
      <c r="H10" s="182"/>
      <c r="I10" s="182"/>
      <c r="J10" s="182"/>
      <c r="K10" s="182"/>
      <c r="L10" s="182"/>
      <c r="M10" s="182"/>
      <c r="N10" s="182"/>
      <c r="O10" s="182"/>
      <c r="P10" s="119"/>
      <c r="Q10" s="119"/>
    </row>
    <row r="12" spans="1:17" ht="18.75" x14ac:dyDescent="0.3">
      <c r="A12" s="246" t="str">
        <f>"This sheet contains some top-line facts and figures for Internal Affairs cases closed in "&amp;$B$8&amp;"."</f>
        <v>This sheet contains some top-line facts and figures for Internal Affairs cases closed in Q3.</v>
      </c>
      <c r="B12" s="262"/>
      <c r="C12" s="262"/>
      <c r="D12" s="262"/>
      <c r="E12" s="262"/>
      <c r="F12" s="262"/>
      <c r="G12" s="262"/>
      <c r="H12" s="262"/>
      <c r="I12" s="262"/>
      <c r="J12" s="262"/>
      <c r="K12" s="262"/>
      <c r="L12" s="262"/>
      <c r="M12" s="262"/>
      <c r="N12" s="262"/>
      <c r="O12" s="262"/>
      <c r="P12" s="262"/>
      <c r="Q12" s="262"/>
    </row>
    <row r="13" spans="1:17" ht="18.75" x14ac:dyDescent="0.3">
      <c r="A13" s="246" t="s">
        <v>705</v>
      </c>
      <c r="B13" s="246"/>
      <c r="C13" s="246"/>
      <c r="D13" s="246"/>
      <c r="E13" s="246"/>
      <c r="F13" s="246"/>
      <c r="G13" s="246"/>
      <c r="H13" s="246"/>
      <c r="I13" s="246"/>
      <c r="J13" s="246"/>
      <c r="K13" s="246"/>
      <c r="L13" s="246"/>
      <c r="M13" s="246"/>
      <c r="N13" s="246"/>
      <c r="O13" s="246"/>
      <c r="P13" s="246"/>
      <c r="Q13" s="246"/>
    </row>
    <row r="15" spans="1:17" ht="40.5" customHeight="1" x14ac:dyDescent="0.25">
      <c r="A15" s="94"/>
      <c r="B15" s="94"/>
      <c r="C15" s="94"/>
      <c r="D15" s="94"/>
      <c r="E15" s="95"/>
      <c r="F15" s="263" t="s">
        <v>706</v>
      </c>
      <c r="G15" s="264"/>
      <c r="H15" s="233" t="s">
        <v>707</v>
      </c>
      <c r="I15" s="233"/>
      <c r="J15" s="233" t="s">
        <v>708</v>
      </c>
      <c r="K15" s="233"/>
      <c r="L15" s="233" t="s">
        <v>703</v>
      </c>
      <c r="M15" s="233"/>
      <c r="N15" s="94"/>
      <c r="O15" s="94"/>
      <c r="P15" s="94"/>
      <c r="Q15" s="94"/>
    </row>
    <row r="16" spans="1:17" ht="18.75" x14ac:dyDescent="0.3">
      <c r="C16" s="73"/>
      <c r="D16" s="73"/>
      <c r="E16" s="90" t="s">
        <v>658</v>
      </c>
      <c r="F16" s="251">
        <f t="shared" ref="F16:F24" si="0">COUNTIFS(PendingStatus,"Closed",PendingMSO,$E16,PendingCloseDate,"&gt;="&amp;$B$9,PendingCloseDate,"&lt;="&amp;$B$10) + COUNTIFS(OpenedStatus,"Closed",OpenedMSO,$E16,OpenedCloseDate,"&gt;="&amp;$B$9,OpenedCloseDate,"&lt;="&amp;$B$10)</f>
        <v>0</v>
      </c>
      <c r="G16" s="254"/>
      <c r="H16" s="252">
        <f t="shared" ref="H16:H24" si="1">COUNTIFS(PendingMSO,$E16,PendingStatus,"Closed",PendingMSOMatch,"Yes",PendingCloseDate,"&gt;="&amp;$B$9,PendingCloseDate,"&lt;="&amp;$B$10) + COUNTIFS(OpenedMSO,$E16,OpenedStatus,"Closed",OpenedMSOMatch,"Yes",OpenedCloseDate,"&gt;="&amp;$B$9,OpenedCloseDate,"&lt;="&amp;$B$10)</f>
        <v>0</v>
      </c>
      <c r="I16" s="252"/>
      <c r="J16" s="252">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2"/>
      <c r="L16" s="252">
        <f t="shared" ref="L16:L24" si="3">COUNTIFS(PendingMSO,$E16,PendingInternalDisposition, "&lt;&gt;Sustained", PendingCloseDate,"&gt;="&amp;$B$9,PendingCloseDate,"&lt;="&amp;$B$10) + COUNTIFS(OpenedMSO,$E16,OpenedInternalDisposition, "&lt;&gt;Sustained", OpenedCloseDate,"&gt;="&amp;$B$9,OpenedCloseDate,"&lt;="&amp;$B$10)</f>
        <v>0</v>
      </c>
      <c r="M16" s="252"/>
    </row>
    <row r="17" spans="3:16" ht="18.75" x14ac:dyDescent="0.3">
      <c r="C17" s="67"/>
      <c r="D17" s="67"/>
      <c r="E17" s="91" t="s">
        <v>651</v>
      </c>
      <c r="F17" s="261">
        <f t="shared" si="0"/>
        <v>0</v>
      </c>
      <c r="G17" s="256"/>
      <c r="H17" s="255">
        <f t="shared" si="1"/>
        <v>0</v>
      </c>
      <c r="I17" s="255"/>
      <c r="J17" s="255">
        <f t="shared" si="2"/>
        <v>0</v>
      </c>
      <c r="K17" s="255"/>
      <c r="L17" s="255">
        <f t="shared" si="3"/>
        <v>0</v>
      </c>
      <c r="M17" s="255"/>
    </row>
    <row r="18" spans="3:16" ht="18.75" x14ac:dyDescent="0.3">
      <c r="E18" s="92" t="s">
        <v>652</v>
      </c>
      <c r="F18" s="257">
        <f t="shared" si="0"/>
        <v>0</v>
      </c>
      <c r="G18" s="247"/>
      <c r="H18" s="246">
        <f t="shared" si="1"/>
        <v>0</v>
      </c>
      <c r="I18" s="246"/>
      <c r="J18" s="246">
        <f t="shared" si="2"/>
        <v>0</v>
      </c>
      <c r="K18" s="246"/>
      <c r="L18" s="246">
        <f t="shared" si="3"/>
        <v>0</v>
      </c>
      <c r="M18" s="246"/>
    </row>
    <row r="19" spans="3:16" ht="18.75" x14ac:dyDescent="0.3">
      <c r="C19" s="67"/>
      <c r="D19" s="67"/>
      <c r="E19" s="91" t="s">
        <v>653</v>
      </c>
      <c r="F19" s="261">
        <f t="shared" si="0"/>
        <v>0</v>
      </c>
      <c r="G19" s="256"/>
      <c r="H19" s="255">
        <f t="shared" si="1"/>
        <v>0</v>
      </c>
      <c r="I19" s="255"/>
      <c r="J19" s="255">
        <f t="shared" si="2"/>
        <v>0</v>
      </c>
      <c r="K19" s="255"/>
      <c r="L19" s="255">
        <f t="shared" si="3"/>
        <v>0</v>
      </c>
      <c r="M19" s="255"/>
    </row>
    <row r="20" spans="3:16" ht="18.75" x14ac:dyDescent="0.3">
      <c r="E20" s="92" t="s">
        <v>654</v>
      </c>
      <c r="F20" s="257">
        <f t="shared" si="0"/>
        <v>0</v>
      </c>
      <c r="G20" s="247"/>
      <c r="H20" s="246">
        <f t="shared" si="1"/>
        <v>0</v>
      </c>
      <c r="I20" s="246"/>
      <c r="J20" s="246">
        <f t="shared" si="2"/>
        <v>0</v>
      </c>
      <c r="K20" s="246"/>
      <c r="L20" s="246">
        <f t="shared" si="3"/>
        <v>0</v>
      </c>
      <c r="M20" s="246"/>
    </row>
    <row r="21" spans="3:16" ht="18.75" x14ac:dyDescent="0.3">
      <c r="C21" s="67"/>
      <c r="D21" s="67"/>
      <c r="E21" s="91" t="s">
        <v>655</v>
      </c>
      <c r="F21" s="261">
        <f t="shared" si="0"/>
        <v>0</v>
      </c>
      <c r="G21" s="256"/>
      <c r="H21" s="255">
        <f t="shared" si="1"/>
        <v>0</v>
      </c>
      <c r="I21" s="255"/>
      <c r="J21" s="255">
        <f t="shared" si="2"/>
        <v>0</v>
      </c>
      <c r="K21" s="255"/>
      <c r="L21" s="255">
        <f t="shared" si="3"/>
        <v>0</v>
      </c>
      <c r="M21" s="255"/>
    </row>
    <row r="22" spans="3:16" ht="18.75" x14ac:dyDescent="0.3">
      <c r="E22" s="92" t="s">
        <v>656</v>
      </c>
      <c r="F22" s="257">
        <f t="shared" si="0"/>
        <v>0</v>
      </c>
      <c r="G22" s="247"/>
      <c r="H22" s="246">
        <f t="shared" si="1"/>
        <v>0</v>
      </c>
      <c r="I22" s="246"/>
      <c r="J22" s="246">
        <f t="shared" si="2"/>
        <v>0</v>
      </c>
      <c r="K22" s="246"/>
      <c r="L22" s="246">
        <f t="shared" si="3"/>
        <v>0</v>
      </c>
      <c r="M22" s="246"/>
    </row>
    <row r="23" spans="3:16" ht="18.75" x14ac:dyDescent="0.3">
      <c r="C23" s="67"/>
      <c r="D23" s="67"/>
      <c r="E23" s="91" t="s">
        <v>5</v>
      </c>
      <c r="F23" s="261">
        <f t="shared" si="0"/>
        <v>0</v>
      </c>
      <c r="G23" s="256"/>
      <c r="H23" s="255">
        <f t="shared" si="1"/>
        <v>0</v>
      </c>
      <c r="I23" s="255"/>
      <c r="J23" s="255">
        <f t="shared" si="2"/>
        <v>0</v>
      </c>
      <c r="K23" s="255"/>
      <c r="L23" s="255">
        <f t="shared" si="3"/>
        <v>0</v>
      </c>
      <c r="M23" s="255"/>
    </row>
    <row r="24" spans="3:16" ht="18.75" x14ac:dyDescent="0.3">
      <c r="E24" s="92" t="s">
        <v>657</v>
      </c>
      <c r="F24" s="257">
        <f t="shared" si="0"/>
        <v>0</v>
      </c>
      <c r="G24" s="247"/>
      <c r="H24" s="246">
        <f t="shared" si="1"/>
        <v>0</v>
      </c>
      <c r="I24" s="246"/>
      <c r="J24" s="246">
        <f t="shared" si="2"/>
        <v>0</v>
      </c>
      <c r="K24" s="246"/>
      <c r="L24" s="246">
        <f t="shared" si="3"/>
        <v>0</v>
      </c>
      <c r="M24" s="246"/>
    </row>
    <row r="25" spans="3:16" ht="18.75" x14ac:dyDescent="0.3">
      <c r="C25" s="78"/>
      <c r="D25" s="78"/>
      <c r="E25" s="93" t="s">
        <v>615</v>
      </c>
      <c r="F25" s="258">
        <f>SUM(F16:F24)</f>
        <v>0</v>
      </c>
      <c r="G25" s="259"/>
      <c r="H25" s="260">
        <f t="shared" ref="H25" si="4">SUM(H16:H24)</f>
        <v>0</v>
      </c>
      <c r="I25" s="260"/>
      <c r="J25" s="260">
        <f>SUM(J16:J24)</f>
        <v>0</v>
      </c>
      <c r="K25" s="260"/>
      <c r="L25" s="260">
        <f>SUM(L16:L24)</f>
        <v>0</v>
      </c>
      <c r="M25" s="260"/>
    </row>
    <row r="28" spans="3:16" ht="21" x14ac:dyDescent="0.35">
      <c r="F28" s="248" t="str">
        <f>"Distribution of sources for complaints closed in "&amp;$B$8</f>
        <v>Distribution of sources for complaints closed in Q3</v>
      </c>
      <c r="G28" s="248"/>
      <c r="H28" s="248"/>
      <c r="I28" s="248"/>
      <c r="J28" s="248"/>
      <c r="K28" s="248"/>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9" t="s">
        <v>26</v>
      </c>
      <c r="G30" s="249"/>
      <c r="H30" s="250" t="s">
        <v>28</v>
      </c>
      <c r="I30" s="250"/>
      <c r="J30" s="249" t="s">
        <v>27</v>
      </c>
      <c r="K30" s="249"/>
      <c r="L30" s="99"/>
      <c r="M30" s="99"/>
      <c r="N30" s="99"/>
      <c r="O30" s="99"/>
      <c r="P30" s="99"/>
    </row>
    <row r="31" spans="3:16" ht="18.75" x14ac:dyDescent="0.3">
      <c r="E31" s="134" t="s">
        <v>709</v>
      </c>
      <c r="F31" s="251">
        <f>COUNTIFS(PendingComplaintSource, F30, PendingCloseDate,"&gt;="&amp;$B$9,PendingCloseDate,"&lt;="&amp;$B$10) + COUNTIFS(OpenedComplaintSource, F30, OpenedCloseDate,"&gt;="&amp;$B$9,OpenedCloseDate,"&lt;="&amp;$B$10)</f>
        <v>0</v>
      </c>
      <c r="G31" s="252"/>
      <c r="H31" s="253">
        <f>COUNTIFS(PendingComplaintSource, H30, PendingCloseDate,"&gt;="&amp;$B$9,PendingCloseDate,"&lt;="&amp;$B$10) + COUNTIFS(OpenedComplaintSource, H30, OpenedCloseDate,"&gt;="&amp;$B$9,OpenedCloseDate,"&lt;="&amp;$B$10)</f>
        <v>0</v>
      </c>
      <c r="I31" s="253"/>
      <c r="J31" s="252">
        <f>COUNTIFS(PendingComplaintSource, J30, PendingCloseDate,"&gt;="&amp;$B$9,PendingCloseDate,"&lt;="&amp;$B$10) + COUNTIFS(OpenedComplaintSource, J30, OpenedCloseDate,"&gt;="&amp;$B$9,OpenedCloseDate,"&lt;="&amp;$B$10)</f>
        <v>0</v>
      </c>
      <c r="K31" s="254"/>
      <c r="L31" s="99"/>
      <c r="M31" s="99"/>
      <c r="N31" s="99"/>
      <c r="O31" s="99"/>
      <c r="P31" s="99"/>
    </row>
    <row r="32" spans="3:16" ht="18.75" x14ac:dyDescent="0.3">
      <c r="E32" s="120" t="s">
        <v>710</v>
      </c>
      <c r="F32" s="223" t="str">
        <f t="shared" ref="F32" si="5">IF(SUM($F31:$J31)=0, "", F31/SUM($F31:$J31))</f>
        <v/>
      </c>
      <c r="G32" s="224"/>
      <c r="H32" s="225" t="str">
        <f t="shared" ref="H32" si="6">IF(SUM($F31:$J31)=0, "", H31/SUM($F31:$J31))</f>
        <v/>
      </c>
      <c r="I32" s="225"/>
      <c r="J32" s="224" t="str">
        <f>IF(SUM($F31:$J31)=0, "", J31/SUM($F31:$J31))</f>
        <v/>
      </c>
      <c r="K32" s="226"/>
    </row>
    <row r="33" spans="1:17" ht="15.75" thickBot="1" x14ac:dyDescent="0.3"/>
    <row r="34" spans="1:17" ht="36.75" customHeight="1" x14ac:dyDescent="0.3">
      <c r="C34" s="227" t="str">
        <f>"Frequency of discipline by type for complaints closed in "&amp;$B$8</f>
        <v>Frequency of discipline by type for complaints closed in Q3</v>
      </c>
      <c r="D34" s="227"/>
      <c r="E34" s="227"/>
      <c r="F34" s="227"/>
      <c r="G34" s="137"/>
      <c r="I34" s="228" t="str">
        <f>$B$8&amp;" Summary"</f>
        <v>Q3 Summary</v>
      </c>
      <c r="J34" s="228"/>
      <c r="K34" s="228"/>
      <c r="M34" s="229" t="s">
        <v>625</v>
      </c>
      <c r="N34" s="230"/>
      <c r="O34" s="230"/>
      <c r="P34" s="231"/>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38" t="s">
        <v>621</v>
      </c>
      <c r="J35" s="239"/>
      <c r="K35" s="242">
        <f>SUM($B$67:$D$67)</f>
        <v>3</v>
      </c>
      <c r="M35" s="232"/>
      <c r="N35" s="233"/>
      <c r="O35" s="233"/>
      <c r="P35" s="234"/>
    </row>
    <row r="36" spans="1:17" ht="18.75" x14ac:dyDescent="0.3">
      <c r="B36" s="67"/>
      <c r="C36" s="67"/>
      <c r="D36" s="67"/>
      <c r="E36" s="139"/>
      <c r="F36" s="91" t="s">
        <v>663</v>
      </c>
      <c r="G36" s="139">
        <f t="shared" si="7"/>
        <v>0</v>
      </c>
      <c r="I36" s="240"/>
      <c r="J36" s="241"/>
      <c r="K36" s="243"/>
      <c r="M36" s="232"/>
      <c r="N36" s="233"/>
      <c r="O36" s="233"/>
      <c r="P36" s="234"/>
    </row>
    <row r="37" spans="1:17" ht="18.75" customHeight="1" x14ac:dyDescent="0.3">
      <c r="E37" s="138"/>
      <c r="F37" s="92" t="s">
        <v>664</v>
      </c>
      <c r="G37" s="138">
        <f t="shared" si="7"/>
        <v>0</v>
      </c>
      <c r="I37" s="244" t="s">
        <v>643</v>
      </c>
      <c r="J37" s="245"/>
      <c r="K37" s="106">
        <f>SUM($E$67:$G$67)</f>
        <v>0</v>
      </c>
      <c r="M37" s="232"/>
      <c r="N37" s="233"/>
      <c r="O37" s="233"/>
      <c r="P37" s="234"/>
    </row>
    <row r="38" spans="1:17" ht="18.75" x14ac:dyDescent="0.3">
      <c r="B38" s="67"/>
      <c r="C38" s="67"/>
      <c r="D38" s="67"/>
      <c r="E38" s="139"/>
      <c r="F38" s="91" t="s">
        <v>665</v>
      </c>
      <c r="G38" s="139">
        <f t="shared" si="7"/>
        <v>0</v>
      </c>
      <c r="I38" s="246" t="s">
        <v>622</v>
      </c>
      <c r="J38" s="247"/>
      <c r="K38" s="107">
        <f>$B$82</f>
        <v>0</v>
      </c>
      <c r="M38" s="232"/>
      <c r="N38" s="233"/>
      <c r="O38" s="233"/>
      <c r="P38" s="234"/>
    </row>
    <row r="39" spans="1:17" ht="18.75" x14ac:dyDescent="0.3">
      <c r="E39" s="138"/>
      <c r="F39" s="92" t="s">
        <v>666</v>
      </c>
      <c r="G39" s="138">
        <f t="shared" si="7"/>
        <v>0</v>
      </c>
      <c r="I39" s="255" t="s">
        <v>623</v>
      </c>
      <c r="J39" s="256"/>
      <c r="K39" s="106">
        <f>COUNTIFS(OpenedInternalDisposition, "Sustained", OpenedCloseDate,"&gt;="&amp;$B$9, OpenedCloseDate, "&lt;="&amp;$B$10, OpenedStatus, "Closed")+COUNTIFS(PendingInternalDisposition, "Sustained", PendingCloseDate, "&gt;="&amp;$B$9, PendingCloseDate, "&lt;="&amp;$B$10, PendingStatus,"Closed")</f>
        <v>0</v>
      </c>
      <c r="M39" s="232"/>
      <c r="N39" s="233"/>
      <c r="O39" s="233"/>
      <c r="P39" s="234"/>
    </row>
    <row r="40" spans="1:17" ht="18.75" x14ac:dyDescent="0.3">
      <c r="B40" s="67"/>
      <c r="C40" s="67"/>
      <c r="D40" s="67"/>
      <c r="E40" s="139"/>
      <c r="F40" s="91" t="s">
        <v>667</v>
      </c>
      <c r="G40" s="139">
        <f t="shared" si="7"/>
        <v>0</v>
      </c>
      <c r="I40" s="246" t="s">
        <v>618</v>
      </c>
      <c r="J40" s="247"/>
      <c r="K40" s="107">
        <f>COUNTIFS(PendingInternalDisposition, "&lt;&gt;Sustained", PendingCloseDate, "&gt;="&amp;$B$9, PendingCloseDate, "&lt;="&amp;$B$10, PendingStatus, "Closed")+COUNTIFS(OpenedInternalDisposition, "&lt;&gt;Sustained", OpenedCloseDate, "&gt;="&amp;$B$9, OpenedCloseDate, "&lt;="&amp;$B$10, OpenedStatus, "Closed")</f>
        <v>0</v>
      </c>
      <c r="M40" s="232"/>
      <c r="N40" s="233"/>
      <c r="O40" s="233"/>
      <c r="P40" s="234"/>
    </row>
    <row r="41" spans="1:17" ht="18.75" x14ac:dyDescent="0.3">
      <c r="E41" s="138"/>
      <c r="F41" s="92" t="s">
        <v>692</v>
      </c>
      <c r="G41" s="138">
        <f t="shared" si="7"/>
        <v>0</v>
      </c>
      <c r="I41" s="255" t="s">
        <v>644</v>
      </c>
      <c r="J41" s="256"/>
      <c r="K41" s="106">
        <f>COUNTIFS(PendingStatus, "Closed", PendingCloseDate, "&gt;="&amp;$B$9, PendingCloseDate, "&lt;="&amp;$B$10, PendingLengthOfCase, "&gt;180") + COUNTIFS(OpenedStatus, "Closed", OpenedCloseDate, "&gt;="&amp;$B$9, OpenedCloseDate, "&lt;="&amp;$B$10, OpenedLengthOfCase, "&gt;180")</f>
        <v>0</v>
      </c>
      <c r="M41" s="232"/>
      <c r="N41" s="233"/>
      <c r="O41" s="233"/>
      <c r="P41" s="234"/>
    </row>
    <row r="42" spans="1:17" ht="18.75" customHeight="1" x14ac:dyDescent="0.3">
      <c r="B42" s="67"/>
      <c r="C42" s="67"/>
      <c r="D42" s="67"/>
      <c r="E42" s="139"/>
      <c r="F42" s="91" t="s">
        <v>668</v>
      </c>
      <c r="G42" s="139">
        <f t="shared" si="7"/>
        <v>0</v>
      </c>
      <c r="I42" s="240" t="str">
        <f>"Total Pending  at end of "&amp;$B$8</f>
        <v>Total Pending  at end of Q3</v>
      </c>
      <c r="J42" s="241"/>
      <c r="K42" s="243">
        <f>(SUM(K35:K37))-K38</f>
        <v>3</v>
      </c>
      <c r="M42" s="232"/>
      <c r="N42" s="233"/>
      <c r="O42" s="233"/>
      <c r="P42" s="234"/>
    </row>
    <row r="43" spans="1:17" ht="18.75" x14ac:dyDescent="0.3">
      <c r="E43" s="138"/>
      <c r="F43" s="92" t="s">
        <v>669</v>
      </c>
      <c r="G43" s="138">
        <f t="shared" si="7"/>
        <v>0</v>
      </c>
      <c r="I43" s="240"/>
      <c r="J43" s="241"/>
      <c r="K43" s="243"/>
      <c r="M43" s="232"/>
      <c r="N43" s="233"/>
      <c r="O43" s="233"/>
      <c r="P43" s="234"/>
    </row>
    <row r="44" spans="1:17" ht="19.5" thickBot="1" x14ac:dyDescent="0.35">
      <c r="B44" s="67"/>
      <c r="C44" s="67"/>
      <c r="D44" s="67"/>
      <c r="E44" s="139"/>
      <c r="F44" s="91" t="s">
        <v>670</v>
      </c>
      <c r="G44" s="139">
        <f t="shared" si="7"/>
        <v>0</v>
      </c>
      <c r="I44" s="73"/>
      <c r="J44" s="73"/>
      <c r="K44" s="73"/>
      <c r="M44" s="235"/>
      <c r="N44" s="236"/>
      <c r="O44" s="236"/>
      <c r="P44" s="237"/>
    </row>
    <row r="45" spans="1:17" ht="18.75" x14ac:dyDescent="0.3">
      <c r="B45" s="73"/>
      <c r="C45" s="73"/>
      <c r="D45" s="73"/>
      <c r="E45" s="73"/>
      <c r="F45" s="96" t="s">
        <v>615</v>
      </c>
      <c r="G45" s="97">
        <f>SUM(G35:G44)</f>
        <v>0</v>
      </c>
    </row>
    <row r="48" spans="1:17" x14ac:dyDescent="0.25">
      <c r="A48" s="1"/>
      <c r="K48" s="172" t="s">
        <v>33</v>
      </c>
      <c r="L48" s="172"/>
      <c r="M48" s="184" t="str">
        <f>'Start Here'!C$13</f>
        <v>Wharton Police Department</v>
      </c>
      <c r="N48" s="184"/>
      <c r="O48" s="184"/>
      <c r="P48" s="184"/>
      <c r="Q48" s="184"/>
    </row>
    <row r="49" spans="1:31" x14ac:dyDescent="0.25">
      <c r="A49" s="1"/>
      <c r="K49" s="172" t="s">
        <v>34</v>
      </c>
      <c r="L49" s="172"/>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7" t="str">
        <f>$B$8&amp;": Cases Opened and Closed, All Allegations"</f>
        <v>Q3: Cases Opened and Closed, All Allegations</v>
      </c>
      <c r="B52" s="207"/>
      <c r="C52" s="207"/>
      <c r="D52" s="207"/>
      <c r="E52" s="207"/>
      <c r="F52" s="207"/>
      <c r="G52" s="207"/>
      <c r="H52" s="207"/>
      <c r="I52" s="207"/>
      <c r="J52" s="207"/>
      <c r="K52" s="207"/>
      <c r="L52" s="207"/>
      <c r="M52" s="207"/>
      <c r="N52" s="207"/>
      <c r="O52" s="207"/>
      <c r="P52" s="207"/>
      <c r="Q52" s="207"/>
    </row>
    <row r="53" spans="1:31" ht="14.65" customHeight="1" x14ac:dyDescent="0.25">
      <c r="A53" s="207"/>
      <c r="B53" s="207"/>
      <c r="C53" s="207"/>
      <c r="D53" s="207"/>
      <c r="E53" s="207"/>
      <c r="F53" s="207"/>
      <c r="G53" s="207"/>
      <c r="H53" s="207"/>
      <c r="I53" s="207"/>
      <c r="J53" s="207"/>
      <c r="K53" s="207"/>
      <c r="L53" s="207"/>
      <c r="M53" s="207"/>
      <c r="N53" s="207"/>
      <c r="O53" s="207"/>
      <c r="P53" s="207"/>
      <c r="Q53" s="207"/>
    </row>
    <row r="54" spans="1:31" ht="21" x14ac:dyDescent="0.25">
      <c r="A54" s="183" t="s">
        <v>713</v>
      </c>
      <c r="B54" s="183"/>
      <c r="C54" s="183"/>
      <c r="D54" s="183"/>
      <c r="E54" s="183"/>
      <c r="F54" s="183"/>
      <c r="G54" s="183"/>
      <c r="H54" s="183"/>
      <c r="I54" s="183"/>
      <c r="J54" s="183"/>
      <c r="K54" s="45"/>
      <c r="L54" s="45"/>
      <c r="M54" s="45"/>
      <c r="N54" s="45"/>
      <c r="O54" s="45"/>
      <c r="P54" s="45"/>
      <c r="Q54" s="45"/>
    </row>
    <row r="55" spans="1:31" ht="15.75" thickBot="1" x14ac:dyDescent="0.3">
      <c r="B55" s="175" t="s">
        <v>25</v>
      </c>
      <c r="C55" s="175"/>
      <c r="D55" s="175"/>
      <c r="E55" s="175"/>
      <c r="F55" s="175"/>
      <c r="G55" s="175"/>
      <c r="H55" s="175"/>
      <c r="I55" s="175"/>
      <c r="J55" s="175"/>
      <c r="K55" s="27"/>
      <c r="L55" s="27"/>
      <c r="M55" s="27"/>
      <c r="N55" s="27"/>
      <c r="O55" s="27"/>
    </row>
    <row r="56" spans="1:31" ht="26.25" customHeight="1" x14ac:dyDescent="0.25">
      <c r="B56" s="203" t="s">
        <v>32</v>
      </c>
      <c r="C56" s="203"/>
      <c r="D56" s="203"/>
      <c r="E56" s="205" t="s">
        <v>624</v>
      </c>
      <c r="F56" s="203"/>
      <c r="G56" s="203"/>
      <c r="H56" s="206" t="s">
        <v>646</v>
      </c>
      <c r="I56" s="186"/>
      <c r="J56" s="186"/>
      <c r="K56" s="27"/>
      <c r="L56" s="27"/>
      <c r="N56" s="188" t="s">
        <v>715</v>
      </c>
      <c r="O56" s="189"/>
      <c r="P56" s="190"/>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91"/>
      <c r="O57" s="192"/>
      <c r="P57" s="193"/>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3</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91"/>
      <c r="O58" s="192"/>
      <c r="P58" s="193"/>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91"/>
      <c r="O59" s="192"/>
      <c r="P59" s="193"/>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91"/>
      <c r="O60" s="192"/>
      <c r="P60" s="193"/>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91"/>
      <c r="O61" s="192"/>
      <c r="P61" s="193"/>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91"/>
      <c r="O62" s="192"/>
      <c r="P62" s="193"/>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91"/>
      <c r="O63" s="192"/>
      <c r="P63" s="193"/>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91"/>
      <c r="O64" s="192"/>
      <c r="P64" s="193"/>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91"/>
      <c r="O65" s="192"/>
      <c r="P65" s="193"/>
    </row>
    <row r="66" spans="1:31" ht="15.75" thickBot="1" x14ac:dyDescent="0.3">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94"/>
      <c r="O66" s="195"/>
      <c r="P66" s="196"/>
    </row>
    <row r="67" spans="1:31" x14ac:dyDescent="0.25">
      <c r="A67" s="89" t="s">
        <v>615</v>
      </c>
      <c r="B67" s="43">
        <f>SUM(B58:B66)</f>
        <v>3</v>
      </c>
      <c r="C67" s="43">
        <f t="shared" ref="C67:D67" si="11">SUM(C58:C66)</f>
        <v>0</v>
      </c>
      <c r="D67" s="43">
        <f t="shared" si="11"/>
        <v>0</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83" t="s">
        <v>714</v>
      </c>
      <c r="B70" s="183"/>
      <c r="C70" s="183"/>
      <c r="D70" s="183"/>
      <c r="E70" s="183"/>
      <c r="F70" s="183"/>
      <c r="G70" s="183"/>
      <c r="H70" s="183"/>
      <c r="I70" s="183"/>
      <c r="J70" s="183"/>
      <c r="K70" s="183"/>
      <c r="L70" s="183"/>
      <c r="M70" s="183"/>
      <c r="N70" s="183"/>
      <c r="O70" s="183"/>
      <c r="P70" s="183"/>
      <c r="Q70" s="183"/>
    </row>
    <row r="71" spans="1:31" x14ac:dyDescent="0.25">
      <c r="B71" s="185" t="s">
        <v>634</v>
      </c>
      <c r="C71" s="175"/>
      <c r="D71" s="176"/>
      <c r="E71" s="185" t="s">
        <v>25</v>
      </c>
      <c r="F71" s="175"/>
      <c r="G71" s="176"/>
      <c r="H71" s="185" t="s">
        <v>614</v>
      </c>
      <c r="I71" s="175"/>
      <c r="J71" s="175"/>
      <c r="K71" s="176"/>
      <c r="L71" s="185" t="s">
        <v>605</v>
      </c>
      <c r="M71" s="175"/>
      <c r="N71" s="175"/>
      <c r="O71" s="175"/>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7" t="str">
        <f>$B$8&amp;": Cases Closed, All Allegations"</f>
        <v>Q3: Cases Closed, All Allegations</v>
      </c>
      <c r="B86" s="207"/>
      <c r="C86" s="207"/>
      <c r="D86" s="207"/>
      <c r="E86" s="207"/>
      <c r="F86" s="207"/>
      <c r="G86" s="207"/>
      <c r="H86" s="207"/>
      <c r="I86" s="207"/>
      <c r="J86" s="207"/>
      <c r="K86" s="207"/>
      <c r="L86" s="207"/>
      <c r="M86" s="207"/>
      <c r="N86" s="207"/>
      <c r="O86" s="207"/>
      <c r="P86" s="207"/>
      <c r="Q86" s="207"/>
      <c r="R86" s="84"/>
      <c r="S86" s="84"/>
      <c r="T86" s="84"/>
    </row>
    <row r="87" spans="1:20" ht="14.65" customHeight="1" x14ac:dyDescent="0.35">
      <c r="A87" s="207"/>
      <c r="B87" s="207"/>
      <c r="C87" s="207"/>
      <c r="D87" s="207"/>
      <c r="E87" s="207"/>
      <c r="F87" s="207"/>
      <c r="G87" s="207"/>
      <c r="H87" s="207"/>
      <c r="I87" s="207"/>
      <c r="J87" s="207"/>
      <c r="K87" s="207"/>
      <c r="L87" s="207"/>
      <c r="M87" s="207"/>
      <c r="N87" s="207"/>
      <c r="O87" s="207"/>
      <c r="P87" s="207"/>
      <c r="Q87" s="207"/>
      <c r="R87" s="84"/>
      <c r="S87" s="84"/>
      <c r="T87" s="84"/>
    </row>
    <row r="88" spans="1:20" ht="14.25" customHeight="1" x14ac:dyDescent="0.25">
      <c r="A88" s="183" t="s">
        <v>616</v>
      </c>
      <c r="B88" s="183"/>
      <c r="C88" s="183"/>
      <c r="D88" s="183"/>
      <c r="E88" s="183"/>
      <c r="F88" s="183"/>
      <c r="G88" s="183"/>
      <c r="H88" s="183"/>
      <c r="I88" s="183"/>
      <c r="J88" s="183"/>
      <c r="K88" s="183"/>
      <c r="L88" s="183"/>
      <c r="M88" s="183"/>
      <c r="N88" s="172" t="s">
        <v>33</v>
      </c>
      <c r="O88" s="172"/>
      <c r="P88" s="184" t="str">
        <f>'Start Here'!C$13</f>
        <v>Wharton Police Department</v>
      </c>
      <c r="Q88" s="184"/>
    </row>
    <row r="89" spans="1:20" ht="14.65" customHeight="1" x14ac:dyDescent="0.25">
      <c r="A89" s="183"/>
      <c r="B89" s="183"/>
      <c r="C89" s="183"/>
      <c r="D89" s="183"/>
      <c r="E89" s="183"/>
      <c r="F89" s="183"/>
      <c r="G89" s="183"/>
      <c r="H89" s="183"/>
      <c r="I89" s="183"/>
      <c r="J89" s="183"/>
      <c r="K89" s="183"/>
      <c r="L89" s="183"/>
      <c r="M89" s="183"/>
      <c r="N89" s="172" t="s">
        <v>34</v>
      </c>
      <c r="O89" s="172"/>
      <c r="P89" s="12">
        <f>'Start Here'!$C$16</f>
        <v>2023</v>
      </c>
    </row>
    <row r="90" spans="1:20" ht="15" customHeight="1" x14ac:dyDescent="0.25">
      <c r="A90" s="192" t="s">
        <v>712</v>
      </c>
      <c r="B90" s="192" t="s">
        <v>617</v>
      </c>
      <c r="C90" s="221"/>
      <c r="D90" s="185" t="s">
        <v>734</v>
      </c>
      <c r="E90" s="175"/>
      <c r="F90" s="175"/>
      <c r="G90" s="175"/>
      <c r="H90" s="175"/>
      <c r="I90" s="175"/>
      <c r="J90" s="175"/>
      <c r="K90" s="175"/>
      <c r="L90" s="176"/>
      <c r="M90" s="192" t="s">
        <v>618</v>
      </c>
    </row>
    <row r="91" spans="1:20" ht="51.75" customHeight="1" x14ac:dyDescent="0.25">
      <c r="A91" s="220"/>
      <c r="B91" s="220"/>
      <c r="C91" s="222"/>
      <c r="D91" s="51" t="s">
        <v>11</v>
      </c>
      <c r="E91" s="51" t="s">
        <v>10</v>
      </c>
      <c r="F91" s="51" t="s">
        <v>9</v>
      </c>
      <c r="G91" s="51" t="s">
        <v>8</v>
      </c>
      <c r="H91" s="51" t="s">
        <v>718</v>
      </c>
      <c r="I91" s="51" t="s">
        <v>6</v>
      </c>
      <c r="J91" s="51" t="s">
        <v>5</v>
      </c>
      <c r="K91" s="51" t="s">
        <v>4</v>
      </c>
      <c r="L91" s="54" t="s">
        <v>711</v>
      </c>
      <c r="M91" s="220"/>
      <c r="R91" s="7"/>
    </row>
    <row r="92" spans="1:20" ht="15" customHeight="1" x14ac:dyDescent="0.25">
      <c r="A92" s="59" t="s">
        <v>658</v>
      </c>
      <c r="B92" s="218">
        <f t="shared" ref="B92:B100" si="20">COUNTIFS(PendingMSO, $A92, PendingCloseDate, "&gt;="&amp;$B$9, PendingCloseDate, "&lt;="&amp;$B$10, PendingStatus, "Closed")+COUNTIFS(OpenedMSO, $A92, OpenedCloseDate, "&gt;="&amp;$B$9, OpenedCloseDate,"&lt;="&amp;$B$10, OpenedStatus, "Closed")</f>
        <v>0</v>
      </c>
      <c r="C92" s="219"/>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5">
        <f t="shared" si="20"/>
        <v>0</v>
      </c>
      <c r="C93" s="216"/>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203">
        <f t="shared" si="20"/>
        <v>0</v>
      </c>
      <c r="C94" s="204"/>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5">
        <f t="shared" si="20"/>
        <v>0</v>
      </c>
      <c r="C95" s="216"/>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203">
        <f t="shared" si="20"/>
        <v>0</v>
      </c>
      <c r="C96" s="204"/>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5">
        <f t="shared" si="20"/>
        <v>0</v>
      </c>
      <c r="C97" s="216"/>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203">
        <f t="shared" si="20"/>
        <v>0</v>
      </c>
      <c r="C98" s="204"/>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5">
        <f t="shared" si="20"/>
        <v>0</v>
      </c>
      <c r="C99" s="216"/>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201">
        <f t="shared" si="20"/>
        <v>0</v>
      </c>
      <c r="C100" s="202"/>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5">
        <f>SUM(B92:C100)</f>
        <v>0</v>
      </c>
      <c r="C101" s="215"/>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7" t="s">
        <v>716</v>
      </c>
      <c r="B102" s="217"/>
      <c r="C102" s="217"/>
      <c r="D102" s="217"/>
      <c r="E102" s="217"/>
      <c r="F102" s="217"/>
      <c r="G102" s="217"/>
      <c r="H102" s="217"/>
      <c r="I102" s="217"/>
      <c r="J102" s="217"/>
      <c r="K102" s="217"/>
      <c r="L102" s="217"/>
      <c r="M102" s="217"/>
      <c r="N102" s="217"/>
      <c r="O102" s="217"/>
      <c r="P102" s="217"/>
      <c r="Q102" s="217"/>
    </row>
    <row r="103" spans="1:19" x14ac:dyDescent="0.25">
      <c r="A103" s="217" t="s">
        <v>717</v>
      </c>
      <c r="B103" s="217"/>
      <c r="C103" s="217"/>
      <c r="D103" s="217"/>
      <c r="E103" s="217"/>
      <c r="F103" s="217"/>
      <c r="G103" s="217"/>
      <c r="H103" s="217"/>
      <c r="I103" s="217"/>
      <c r="J103" s="217"/>
      <c r="K103" s="217"/>
      <c r="L103" s="217"/>
      <c r="M103" s="217"/>
      <c r="N103" s="217"/>
      <c r="O103" s="217"/>
      <c r="P103" s="217"/>
      <c r="Q103" s="217"/>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8" t="s">
        <v>645</v>
      </c>
      <c r="C106" s="208"/>
      <c r="D106" s="208"/>
      <c r="E106" s="209" t="s">
        <v>635</v>
      </c>
      <c r="F106" s="208"/>
      <c r="G106" s="208"/>
      <c r="H106" s="209" t="s">
        <v>631</v>
      </c>
      <c r="I106" s="208"/>
      <c r="J106" s="210"/>
      <c r="K106" s="197" t="s">
        <v>729</v>
      </c>
      <c r="L106" s="197"/>
    </row>
    <row r="107" spans="1:19" ht="30.75" customHeight="1" x14ac:dyDescent="0.25">
      <c r="B107" s="211" t="s">
        <v>25</v>
      </c>
      <c r="C107" s="212"/>
      <c r="D107" s="212"/>
      <c r="E107" s="211" t="s">
        <v>25</v>
      </c>
      <c r="F107" s="212"/>
      <c r="G107" s="212"/>
      <c r="H107" s="49"/>
      <c r="I107" s="132" t="s">
        <v>25</v>
      </c>
      <c r="J107" s="130"/>
      <c r="K107" s="213" t="s">
        <v>637</v>
      </c>
      <c r="L107" s="214"/>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7" t="str">
        <f>$B$8&amp;": Cases Opened and Closed, Alleged Other Rule Violations"</f>
        <v>Q3: Cases Opened and Closed, Alleged Other Rule Violations</v>
      </c>
      <c r="B120" s="207"/>
      <c r="C120" s="207"/>
      <c r="D120" s="207"/>
      <c r="E120" s="207"/>
      <c r="F120" s="207"/>
      <c r="G120" s="207"/>
      <c r="H120" s="207"/>
      <c r="I120" s="207"/>
      <c r="J120" s="207"/>
      <c r="K120" s="207"/>
      <c r="L120" s="207"/>
      <c r="M120" s="207"/>
      <c r="N120" s="207"/>
      <c r="O120" s="207"/>
      <c r="P120" s="207"/>
      <c r="Q120" s="207"/>
    </row>
    <row r="121" spans="1:17" x14ac:dyDescent="0.25">
      <c r="A121" s="207"/>
      <c r="B121" s="207"/>
      <c r="C121" s="207"/>
      <c r="D121" s="207"/>
      <c r="E121" s="207"/>
      <c r="F121" s="207"/>
      <c r="G121" s="207"/>
      <c r="H121" s="207"/>
      <c r="I121" s="207"/>
      <c r="J121" s="207"/>
      <c r="K121" s="207"/>
      <c r="L121" s="207"/>
      <c r="M121" s="207"/>
      <c r="N121" s="207"/>
      <c r="O121" s="207"/>
      <c r="P121" s="207"/>
      <c r="Q121" s="207"/>
    </row>
    <row r="122" spans="1:17" ht="21" x14ac:dyDescent="0.25">
      <c r="A122" s="183" t="s">
        <v>719</v>
      </c>
      <c r="B122" s="183"/>
      <c r="C122" s="183"/>
      <c r="D122" s="183"/>
      <c r="E122" s="183"/>
      <c r="F122" s="183"/>
      <c r="G122" s="183"/>
      <c r="H122" s="183"/>
      <c r="I122" s="183"/>
      <c r="J122" s="183"/>
      <c r="K122" s="183"/>
      <c r="L122" s="183"/>
      <c r="M122" s="172" t="s">
        <v>33</v>
      </c>
      <c r="N122" s="172"/>
      <c r="O122" s="184" t="str">
        <f>'Start Here'!C$13</f>
        <v>Wharton Police Department</v>
      </c>
      <c r="P122" s="184"/>
      <c r="Q122" s="184"/>
    </row>
    <row r="123" spans="1:17" x14ac:dyDescent="0.25">
      <c r="D123" s="175" t="s">
        <v>25</v>
      </c>
      <c r="E123" s="175"/>
      <c r="F123" s="175"/>
      <c r="G123" s="175"/>
      <c r="H123" s="175"/>
      <c r="I123" s="175"/>
      <c r="J123" s="175"/>
      <c r="K123" s="175"/>
      <c r="L123" s="175"/>
      <c r="M123" s="172" t="s">
        <v>34</v>
      </c>
      <c r="N123" s="172"/>
      <c r="O123" s="12">
        <f>'Start Here'!$C$16</f>
        <v>2023</v>
      </c>
    </row>
    <row r="124" spans="1:17" x14ac:dyDescent="0.25">
      <c r="C124" s="65"/>
      <c r="D124" s="203" t="s">
        <v>32</v>
      </c>
      <c r="E124" s="203"/>
      <c r="F124" s="203"/>
      <c r="G124" s="205" t="s">
        <v>624</v>
      </c>
      <c r="H124" s="203"/>
      <c r="I124" s="203"/>
      <c r="J124" s="206" t="s">
        <v>646</v>
      </c>
      <c r="K124" s="186"/>
      <c r="L124" s="186"/>
    </row>
    <row r="125" spans="1:17" ht="16.5" customHeight="1" x14ac:dyDescent="0.25">
      <c r="A125" s="201" t="s">
        <v>736</v>
      </c>
      <c r="B125" s="201"/>
      <c r="C125" s="202"/>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8" t="s">
        <v>720</v>
      </c>
      <c r="O127" s="189"/>
      <c r="P127" s="190"/>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91"/>
      <c r="O128" s="192"/>
      <c r="P128" s="193"/>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91"/>
      <c r="O129" s="192"/>
      <c r="P129" s="193"/>
    </row>
    <row r="130" spans="1:23" x14ac:dyDescent="0.25">
      <c r="A130" s="1" t="s">
        <v>660</v>
      </c>
      <c r="C130" s="65"/>
      <c r="D130" s="29">
        <f t="shared" si="31"/>
        <v>1</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91"/>
      <c r="O130" s="192"/>
      <c r="P130" s="193"/>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91"/>
      <c r="O131" s="192"/>
      <c r="P131" s="193"/>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91"/>
      <c r="O132" s="192"/>
      <c r="P132" s="193"/>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91"/>
      <c r="O133" s="192"/>
      <c r="P133" s="193"/>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91"/>
      <c r="O134" s="192"/>
      <c r="P134" s="193"/>
    </row>
    <row r="135" spans="1:23" ht="15.75" thickBot="1" x14ac:dyDescent="0.3">
      <c r="A135" s="2" t="s">
        <v>675</v>
      </c>
      <c r="B135" s="67"/>
      <c r="C135" s="71"/>
      <c r="D135" s="30">
        <f t="shared" si="31"/>
        <v>0</v>
      </c>
      <c r="E135" s="30">
        <f t="shared" si="31"/>
        <v>0</v>
      </c>
      <c r="F135" s="31">
        <f t="shared" si="31"/>
        <v>0</v>
      </c>
      <c r="G135" s="30">
        <f t="shared" si="32"/>
        <v>1</v>
      </c>
      <c r="H135" s="30">
        <f t="shared" si="32"/>
        <v>0</v>
      </c>
      <c r="I135" s="31">
        <f t="shared" si="32"/>
        <v>0</v>
      </c>
      <c r="J135" s="67">
        <f t="shared" si="33"/>
        <v>0</v>
      </c>
      <c r="K135" s="67" t="str">
        <f t="shared" si="33"/>
        <v/>
      </c>
      <c r="L135" s="67" t="str">
        <f t="shared" si="33"/>
        <v/>
      </c>
      <c r="N135" s="194"/>
      <c r="O135" s="195"/>
      <c r="P135" s="196"/>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0</v>
      </c>
      <c r="H139" s="30">
        <f t="shared" si="32"/>
        <v>0</v>
      </c>
      <c r="I139" s="31">
        <f t="shared" si="32"/>
        <v>0</v>
      </c>
      <c r="J139" s="67" t="str">
        <f t="shared" si="33"/>
        <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5</v>
      </c>
      <c r="I141" s="68">
        <f t="shared" si="32"/>
        <v>0</v>
      </c>
      <c r="J141" s="67" t="str">
        <f t="shared" si="33"/>
        <v/>
      </c>
      <c r="K141" s="67">
        <f t="shared" si="33"/>
        <v>0</v>
      </c>
      <c r="L141" s="67" t="str">
        <f t="shared" si="33"/>
        <v/>
      </c>
    </row>
    <row r="142" spans="1:23" x14ac:dyDescent="0.25">
      <c r="D142" s="70">
        <f t="shared" ref="D142" si="34">SUM(D126:D141)</f>
        <v>2</v>
      </c>
      <c r="E142" s="69">
        <f>SUM(E126:E141)</f>
        <v>0</v>
      </c>
      <c r="F142" s="69">
        <f>SUM(F126:F141)</f>
        <v>0</v>
      </c>
      <c r="G142" s="70">
        <f t="shared" ref="G142:H142" si="35">SUM(G126:G141)</f>
        <v>1</v>
      </c>
      <c r="H142" s="69">
        <f t="shared" si="35"/>
        <v>5</v>
      </c>
      <c r="I142" s="69">
        <f>SUM(I126:I141)</f>
        <v>0</v>
      </c>
      <c r="J142" s="70">
        <f>IF(G142=0,"",(SUMIFS(OpenedNInitial,OpenedComplaintSource,H$57,OpenedComplaintReceived,"&gt;="&amp;$B$9,OpenedComplaintReceived,"&lt;="&amp;$B$10)/G142))</f>
        <v>0</v>
      </c>
      <c r="K142" s="69">
        <f>IF(H142=0,"",(SUMIFS(OpenedNInitial,OpenedComplaintSource,I$57,OpenedComplaintReceived,"&gt;="&amp;$B$9,OpenedComplaintReceived,"&lt;="&amp;$B$10)/H142))</f>
        <v>0</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83" t="s">
        <v>693</v>
      </c>
      <c r="B144" s="183"/>
      <c r="C144" s="183"/>
      <c r="D144" s="183"/>
      <c r="E144" s="183"/>
      <c r="F144" s="183"/>
      <c r="G144" s="183"/>
      <c r="H144" s="183"/>
      <c r="I144" s="183"/>
      <c r="J144" s="183"/>
      <c r="K144" s="183"/>
      <c r="L144" s="183"/>
      <c r="M144" s="183"/>
      <c r="N144" s="183"/>
      <c r="O144" s="183"/>
      <c r="P144" s="183"/>
      <c r="Q144" s="183"/>
    </row>
    <row r="145" spans="1:17" x14ac:dyDescent="0.25">
      <c r="D145" s="185" t="s">
        <v>634</v>
      </c>
      <c r="E145" s="175"/>
      <c r="F145" s="176"/>
      <c r="G145" s="185" t="s">
        <v>25</v>
      </c>
      <c r="H145" s="175"/>
      <c r="I145" s="176"/>
      <c r="J145" s="185" t="s">
        <v>614</v>
      </c>
      <c r="K145" s="175"/>
      <c r="L145" s="175"/>
      <c r="M145" s="176"/>
      <c r="N145" s="185" t="s">
        <v>605</v>
      </c>
      <c r="O145" s="175"/>
      <c r="P145" s="175"/>
      <c r="Q145" s="175"/>
    </row>
    <row r="146" spans="1:17" ht="45" x14ac:dyDescent="0.25">
      <c r="A146" s="201" t="s">
        <v>736</v>
      </c>
      <c r="B146" s="201"/>
      <c r="C146" s="202"/>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82" t="str">
        <f>$B$8&amp;": Cases Closed, Alleged Other Rule Violations"</f>
        <v>Q3: Cases Closed, Alleged Other Rule Violations</v>
      </c>
      <c r="B165" s="182"/>
      <c r="C165" s="182"/>
      <c r="D165" s="182"/>
      <c r="E165" s="182"/>
      <c r="F165" s="182"/>
      <c r="G165" s="182"/>
      <c r="H165" s="182"/>
      <c r="I165" s="182"/>
      <c r="J165" s="182"/>
      <c r="K165" s="182"/>
      <c r="L165" s="182"/>
      <c r="M165" s="182"/>
      <c r="N165" s="182"/>
      <c r="O165" s="182"/>
      <c r="P165" s="182"/>
      <c r="Q165" s="182"/>
    </row>
    <row r="166" spans="1:17" x14ac:dyDescent="0.25">
      <c r="A166" s="182"/>
      <c r="B166" s="182"/>
      <c r="C166" s="182"/>
      <c r="D166" s="182"/>
      <c r="E166" s="182"/>
      <c r="F166" s="182"/>
      <c r="G166" s="182"/>
      <c r="H166" s="182"/>
      <c r="I166" s="182"/>
      <c r="J166" s="182"/>
      <c r="K166" s="182"/>
      <c r="L166" s="182"/>
      <c r="M166" s="182"/>
      <c r="N166" s="182"/>
      <c r="O166" s="182"/>
      <c r="P166" s="182"/>
      <c r="Q166" s="182"/>
    </row>
    <row r="167" spans="1:17" ht="21" customHeight="1" x14ac:dyDescent="0.25">
      <c r="A167" s="183" t="s">
        <v>737</v>
      </c>
      <c r="B167" s="183"/>
      <c r="C167" s="183"/>
      <c r="D167" s="183"/>
      <c r="E167" s="183"/>
      <c r="F167" s="183"/>
      <c r="G167" s="183"/>
      <c r="H167" s="183"/>
      <c r="I167" s="183"/>
      <c r="J167" s="183"/>
      <c r="K167" s="183"/>
      <c r="L167" s="183"/>
      <c r="M167" s="172" t="s">
        <v>33</v>
      </c>
      <c r="N167" s="172"/>
      <c r="O167" s="184" t="str">
        <f>'Start Here'!C$13</f>
        <v>Wharton Police Department</v>
      </c>
      <c r="P167" s="184"/>
      <c r="Q167" s="184"/>
    </row>
    <row r="168" spans="1:17" ht="36" customHeight="1" x14ac:dyDescent="0.25">
      <c r="C168" s="65"/>
      <c r="D168" s="200" t="s">
        <v>645</v>
      </c>
      <c r="E168" s="200"/>
      <c r="F168" s="199"/>
      <c r="G168" s="198" t="s">
        <v>635</v>
      </c>
      <c r="H168" s="200"/>
      <c r="I168" s="199"/>
      <c r="J168" s="198" t="s">
        <v>631</v>
      </c>
      <c r="K168" s="200"/>
      <c r="L168" s="200"/>
      <c r="M168" s="172" t="s">
        <v>34</v>
      </c>
      <c r="N168" s="172"/>
      <c r="O168" s="12">
        <f>'Start Here'!$C$16</f>
        <v>2023</v>
      </c>
    </row>
    <row r="169" spans="1:17" x14ac:dyDescent="0.25">
      <c r="D169" s="185" t="s">
        <v>25</v>
      </c>
      <c r="E169" s="175"/>
      <c r="F169" s="176"/>
      <c r="G169" s="185" t="s">
        <v>25</v>
      </c>
      <c r="H169" s="175"/>
      <c r="I169" s="176"/>
      <c r="J169" s="185" t="s">
        <v>25</v>
      </c>
      <c r="K169" s="175"/>
      <c r="L169" s="175"/>
    </row>
    <row r="170" spans="1:17" ht="15.75" customHeight="1" x14ac:dyDescent="0.25">
      <c r="A170" s="186" t="s">
        <v>733</v>
      </c>
      <c r="B170" s="186"/>
      <c r="C170" s="187"/>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8" t="s">
        <v>724</v>
      </c>
      <c r="O172" s="189"/>
      <c r="P172" s="190"/>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91"/>
      <c r="O173" s="192"/>
      <c r="P173" s="193"/>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91"/>
      <c r="O174" s="192"/>
      <c r="P174" s="193"/>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91"/>
      <c r="O175" s="192"/>
      <c r="P175" s="193"/>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91"/>
      <c r="O176" s="192"/>
      <c r="P176" s="193"/>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91"/>
      <c r="O177" s="192"/>
      <c r="P177" s="193"/>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91"/>
      <c r="O178" s="192"/>
      <c r="P178" s="193"/>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91"/>
      <c r="O179" s="192"/>
      <c r="P179" s="193"/>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91"/>
      <c r="O180" s="192"/>
      <c r="P180" s="193"/>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91"/>
      <c r="O181" s="192"/>
      <c r="P181" s="193"/>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91"/>
      <c r="O182" s="192"/>
      <c r="P182" s="193"/>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91"/>
      <c r="O183" s="192"/>
      <c r="P183" s="193"/>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91"/>
      <c r="O184" s="192"/>
      <c r="P184" s="193"/>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91"/>
      <c r="O185" s="192"/>
      <c r="P185" s="193"/>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94"/>
      <c r="O186" s="195"/>
      <c r="P186" s="196"/>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7" t="s">
        <v>721</v>
      </c>
      <c r="B189" s="197"/>
      <c r="C189" s="197"/>
      <c r="D189" s="197"/>
      <c r="E189" s="197"/>
      <c r="F189" s="197"/>
      <c r="G189" s="197"/>
      <c r="H189" s="197"/>
      <c r="I189" s="197"/>
      <c r="J189" s="197"/>
      <c r="K189" s="197"/>
      <c r="L189" s="197"/>
      <c r="M189" s="140"/>
      <c r="N189" s="140"/>
      <c r="O189" s="140"/>
      <c r="Q189" s="98"/>
    </row>
    <row r="190" spans="1:17" ht="40.5" customHeight="1" x14ac:dyDescent="0.25">
      <c r="A190" s="140"/>
      <c r="B190" s="140"/>
      <c r="C190" s="105"/>
      <c r="D190" s="200" t="s">
        <v>722</v>
      </c>
      <c r="E190" s="199"/>
      <c r="F190" s="200" t="s">
        <v>732</v>
      </c>
      <c r="G190" s="200"/>
      <c r="H190" s="140"/>
      <c r="I190" s="140"/>
      <c r="J190" s="140"/>
      <c r="K190" s="140"/>
      <c r="L190" s="140"/>
      <c r="M190" s="140"/>
      <c r="N190" s="140"/>
      <c r="O190" s="140"/>
      <c r="Q190" s="98"/>
    </row>
    <row r="191" spans="1:17" ht="33" customHeight="1" x14ac:dyDescent="0.25">
      <c r="D191" s="177" t="s">
        <v>723</v>
      </c>
      <c r="E191" s="178"/>
      <c r="F191" s="177" t="s">
        <v>723</v>
      </c>
      <c r="G191" s="179"/>
      <c r="H191" s="101"/>
      <c r="Q191" s="98"/>
    </row>
    <row r="192" spans="1:17" ht="45" customHeight="1" x14ac:dyDescent="0.25">
      <c r="A192" s="180" t="s">
        <v>725</v>
      </c>
      <c r="B192" s="180"/>
      <c r="C192" s="181"/>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82" t="str">
        <f>$B$8&amp;": Cases Opened and Closed, Alleged Criminal Violations"</f>
        <v>Q3: Cases Opened and Closed, Alleged Criminal Violations</v>
      </c>
      <c r="B210" s="182"/>
      <c r="C210" s="182"/>
      <c r="D210" s="182"/>
      <c r="E210" s="182"/>
      <c r="F210" s="182"/>
      <c r="G210" s="182"/>
      <c r="H210" s="182"/>
      <c r="I210" s="182"/>
      <c r="J210" s="182"/>
      <c r="K210" s="182"/>
      <c r="L210" s="182"/>
      <c r="M210" s="182"/>
      <c r="N210" s="182"/>
      <c r="O210" s="182"/>
      <c r="P210" s="182"/>
      <c r="Q210" s="182"/>
    </row>
    <row r="211" spans="1:17" x14ac:dyDescent="0.25">
      <c r="A211" s="182"/>
      <c r="B211" s="182"/>
      <c r="C211" s="182"/>
      <c r="D211" s="182"/>
      <c r="E211" s="182"/>
      <c r="F211" s="182"/>
      <c r="G211" s="182"/>
      <c r="H211" s="182"/>
      <c r="I211" s="182"/>
      <c r="J211" s="182"/>
      <c r="K211" s="182"/>
      <c r="L211" s="182"/>
      <c r="M211" s="182"/>
      <c r="N211" s="182"/>
      <c r="O211" s="182"/>
      <c r="P211" s="182"/>
      <c r="Q211" s="182"/>
    </row>
    <row r="212" spans="1:17" ht="21" x14ac:dyDescent="0.25">
      <c r="A212" s="183" t="s">
        <v>694</v>
      </c>
      <c r="B212" s="183"/>
      <c r="C212" s="183"/>
      <c r="D212" s="183"/>
      <c r="E212" s="183"/>
      <c r="F212" s="183"/>
      <c r="G212" s="183"/>
      <c r="H212" s="183"/>
      <c r="I212" s="183"/>
      <c r="J212" s="183"/>
      <c r="K212" s="183"/>
      <c r="L212" s="183"/>
      <c r="M212" s="183"/>
      <c r="N212" s="183"/>
      <c r="O212" s="183"/>
      <c r="P212" s="183"/>
      <c r="Q212" s="183"/>
    </row>
    <row r="213" spans="1:17" x14ac:dyDescent="0.25">
      <c r="D213" s="175" t="s">
        <v>25</v>
      </c>
      <c r="E213" s="175"/>
      <c r="F213" s="175"/>
      <c r="G213" s="175"/>
      <c r="H213" s="175"/>
      <c r="I213" s="175"/>
      <c r="J213" s="175"/>
      <c r="K213" s="175"/>
      <c r="L213" s="175"/>
      <c r="M213" s="172" t="s">
        <v>33</v>
      </c>
      <c r="N213" s="172"/>
      <c r="O213" s="184" t="str">
        <f>'Start Here'!C$13</f>
        <v>Wharton Police Department</v>
      </c>
      <c r="P213" s="184"/>
      <c r="Q213" s="184"/>
    </row>
    <row r="214" spans="1:17" ht="15" customHeight="1" x14ac:dyDescent="0.25">
      <c r="C214" s="203" t="s">
        <v>32</v>
      </c>
      <c r="D214" s="203"/>
      <c r="E214" s="204"/>
      <c r="F214" s="205" t="s">
        <v>624</v>
      </c>
      <c r="G214" s="203"/>
      <c r="H214" s="204"/>
      <c r="I214" s="206" t="s">
        <v>646</v>
      </c>
      <c r="J214" s="186"/>
      <c r="K214" s="186"/>
      <c r="M214" s="172" t="s">
        <v>34</v>
      </c>
      <c r="N214" s="172"/>
      <c r="O214" s="12">
        <f>'Start Here'!$C$16</f>
        <v>2023</v>
      </c>
    </row>
    <row r="215" spans="1:17" ht="16.5" customHeight="1" x14ac:dyDescent="0.25">
      <c r="A215" s="201" t="s">
        <v>738</v>
      </c>
      <c r="B215" s="201"/>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8" t="s">
        <v>726</v>
      </c>
      <c r="O217" s="189"/>
      <c r="P217" s="190"/>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91"/>
      <c r="O218" s="192"/>
      <c r="P218" s="193"/>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91"/>
      <c r="O219" s="192"/>
      <c r="P219" s="193"/>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91"/>
      <c r="O220" s="192"/>
      <c r="P220" s="193"/>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91"/>
      <c r="O221" s="192"/>
      <c r="P221" s="193"/>
    </row>
    <row r="222" spans="1:17" x14ac:dyDescent="0.25">
      <c r="A222" s="1" t="s">
        <v>686</v>
      </c>
      <c r="B222" s="66"/>
      <c r="C222" s="29">
        <f t="shared" si="53"/>
        <v>3</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91"/>
      <c r="O222" s="192"/>
      <c r="P222" s="193"/>
    </row>
    <row r="223" spans="1:17" ht="15.75" thickBot="1" x14ac:dyDescent="0.3">
      <c r="A223" s="73"/>
      <c r="B223" s="73"/>
      <c r="C223" s="70">
        <f t="shared" ref="C223:H223" si="56">SUM(C216:C222)</f>
        <v>3</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94"/>
      <c r="O223" s="195"/>
      <c r="P223" s="196"/>
    </row>
    <row r="224" spans="1:17" x14ac:dyDescent="0.25">
      <c r="O224" s="98"/>
      <c r="P224" s="98"/>
      <c r="Q224" s="98"/>
    </row>
    <row r="225" spans="1:17" ht="21" x14ac:dyDescent="0.25">
      <c r="A225" s="183" t="s">
        <v>695</v>
      </c>
      <c r="B225" s="183"/>
      <c r="C225" s="183"/>
      <c r="D225" s="183"/>
      <c r="E225" s="183"/>
      <c r="F225" s="183"/>
      <c r="G225" s="183"/>
      <c r="H225" s="183"/>
      <c r="I225" s="183"/>
      <c r="J225" s="183"/>
      <c r="K225" s="183"/>
      <c r="L225" s="183"/>
      <c r="M225" s="183"/>
      <c r="N225" s="183"/>
      <c r="O225" s="183"/>
      <c r="P225" s="183"/>
      <c r="Q225" s="183"/>
    </row>
    <row r="226" spans="1:17" x14ac:dyDescent="0.25">
      <c r="C226" s="185" t="s">
        <v>634</v>
      </c>
      <c r="D226" s="175"/>
      <c r="E226" s="176"/>
      <c r="F226" s="185" t="s">
        <v>25</v>
      </c>
      <c r="G226" s="175"/>
      <c r="H226" s="176"/>
      <c r="I226" s="185" t="s">
        <v>614</v>
      </c>
      <c r="J226" s="175"/>
      <c r="K226" s="175"/>
      <c r="L226" s="176"/>
      <c r="M226" s="185" t="s">
        <v>605</v>
      </c>
      <c r="N226" s="175"/>
      <c r="O226" s="175"/>
      <c r="P226" s="175"/>
    </row>
    <row r="227" spans="1:17" ht="32.25" customHeight="1" x14ac:dyDescent="0.25">
      <c r="A227" s="201" t="s">
        <v>738</v>
      </c>
      <c r="B227" s="202"/>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82" t="str">
        <f>$B$8&amp;": Cases Closed, Alleged Criminal Violations"</f>
        <v>Q3: Cases Closed, Alleged Criminal Violations</v>
      </c>
      <c r="B237" s="182"/>
      <c r="C237" s="182"/>
      <c r="D237" s="182"/>
      <c r="E237" s="182"/>
      <c r="F237" s="182"/>
      <c r="G237" s="182"/>
      <c r="H237" s="182"/>
      <c r="I237" s="182"/>
      <c r="J237" s="182"/>
      <c r="K237" s="182"/>
      <c r="L237" s="182"/>
      <c r="M237" s="182"/>
      <c r="N237" s="182"/>
      <c r="O237" s="182"/>
      <c r="P237" s="182"/>
      <c r="Q237" s="182"/>
    </row>
    <row r="238" spans="1:17" x14ac:dyDescent="0.25">
      <c r="A238" s="182"/>
      <c r="B238" s="182"/>
      <c r="C238" s="182"/>
      <c r="D238" s="182"/>
      <c r="E238" s="182"/>
      <c r="F238" s="182"/>
      <c r="G238" s="182"/>
      <c r="H238" s="182"/>
      <c r="I238" s="182"/>
      <c r="J238" s="182"/>
      <c r="K238" s="182"/>
      <c r="L238" s="182"/>
      <c r="M238" s="182"/>
      <c r="N238" s="182"/>
      <c r="O238" s="182"/>
      <c r="P238" s="182"/>
      <c r="Q238" s="182"/>
    </row>
    <row r="239" spans="1:17" ht="21" x14ac:dyDescent="0.25">
      <c r="A239" s="183" t="s">
        <v>704</v>
      </c>
      <c r="B239" s="183"/>
      <c r="C239" s="183"/>
      <c r="D239" s="183"/>
      <c r="E239" s="183"/>
      <c r="F239" s="183"/>
      <c r="G239" s="183"/>
      <c r="H239" s="183"/>
      <c r="I239" s="183"/>
      <c r="J239" s="183"/>
      <c r="K239" s="183"/>
      <c r="L239" s="183"/>
      <c r="M239" s="172" t="s">
        <v>33</v>
      </c>
      <c r="N239" s="172"/>
      <c r="O239" s="184" t="str">
        <f>'Start Here'!C$13</f>
        <v>Wharton Police Department</v>
      </c>
      <c r="P239" s="184"/>
      <c r="Q239" s="184"/>
    </row>
    <row r="240" spans="1:17" ht="43.15" customHeight="1" x14ac:dyDescent="0.25">
      <c r="C240" s="65"/>
      <c r="D240" s="200" t="s">
        <v>645</v>
      </c>
      <c r="E240" s="200"/>
      <c r="F240" s="199"/>
      <c r="G240" s="198" t="s">
        <v>635</v>
      </c>
      <c r="H240" s="200"/>
      <c r="I240" s="199"/>
      <c r="J240" s="198" t="s">
        <v>631</v>
      </c>
      <c r="K240" s="200"/>
      <c r="L240" s="200"/>
      <c r="M240" s="172" t="s">
        <v>34</v>
      </c>
      <c r="N240" s="172"/>
      <c r="O240" s="12">
        <f>'Start Here'!$C$16</f>
        <v>2023</v>
      </c>
    </row>
    <row r="241" spans="1:17" x14ac:dyDescent="0.25">
      <c r="D241" s="185" t="s">
        <v>25</v>
      </c>
      <c r="E241" s="175"/>
      <c r="F241" s="176"/>
      <c r="G241" s="185" t="s">
        <v>25</v>
      </c>
      <c r="H241" s="175"/>
      <c r="I241" s="176"/>
      <c r="J241" s="185" t="s">
        <v>25</v>
      </c>
      <c r="K241" s="175"/>
      <c r="L241" s="175"/>
    </row>
    <row r="242" spans="1:17" ht="30" x14ac:dyDescent="0.25">
      <c r="A242" s="186" t="s">
        <v>739</v>
      </c>
      <c r="B242" s="186"/>
      <c r="C242" s="187"/>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8" t="s">
        <v>727</v>
      </c>
      <c r="O244" s="189"/>
      <c r="P244" s="190"/>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91"/>
      <c r="O245" s="192"/>
      <c r="P245" s="193"/>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91"/>
      <c r="O246" s="192"/>
      <c r="P246" s="193"/>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91"/>
      <c r="O247" s="192"/>
      <c r="P247" s="193"/>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91"/>
      <c r="O248" s="192"/>
      <c r="P248" s="193"/>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91"/>
      <c r="O249" s="192"/>
      <c r="P249" s="193"/>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91"/>
      <c r="O250" s="192"/>
      <c r="P250" s="193"/>
      <c r="Q250" s="98"/>
    </row>
    <row r="251" spans="1:17" x14ac:dyDescent="0.25">
      <c r="D251" s="98"/>
      <c r="E251" s="98"/>
      <c r="F251" s="98"/>
      <c r="G251" s="98"/>
      <c r="H251" s="98"/>
      <c r="I251" s="98"/>
      <c r="J251" s="98"/>
      <c r="K251" s="98"/>
      <c r="M251" s="33"/>
      <c r="N251" s="191"/>
      <c r="O251" s="192"/>
      <c r="P251" s="193"/>
      <c r="Q251" s="98"/>
    </row>
    <row r="252" spans="1:17" ht="48" customHeight="1" x14ac:dyDescent="0.25">
      <c r="A252" s="197" t="s">
        <v>740</v>
      </c>
      <c r="B252" s="197"/>
      <c r="C252" s="197"/>
      <c r="D252" s="197"/>
      <c r="E252" s="197"/>
      <c r="F252" s="197"/>
      <c r="G252" s="197"/>
      <c r="H252" s="101"/>
      <c r="N252" s="191"/>
      <c r="O252" s="192"/>
      <c r="P252" s="193"/>
      <c r="Q252" s="98"/>
    </row>
    <row r="253" spans="1:17" ht="47.25" customHeight="1" thickBot="1" x14ac:dyDescent="0.3">
      <c r="A253" s="140"/>
      <c r="B253" s="140"/>
      <c r="C253" s="105"/>
      <c r="D253" s="198" t="s">
        <v>722</v>
      </c>
      <c r="E253" s="199"/>
      <c r="F253" s="200" t="s">
        <v>732</v>
      </c>
      <c r="G253" s="200"/>
      <c r="H253" s="101"/>
      <c r="N253" s="194"/>
      <c r="O253" s="195"/>
      <c r="P253" s="196"/>
      <c r="Q253" s="98"/>
    </row>
    <row r="254" spans="1:17" ht="32.25" customHeight="1" x14ac:dyDescent="0.25">
      <c r="D254" s="177" t="s">
        <v>637</v>
      </c>
      <c r="E254" s="178"/>
      <c r="F254" s="179" t="s">
        <v>637</v>
      </c>
      <c r="G254" s="179"/>
      <c r="H254" s="101"/>
      <c r="N254" s="108"/>
      <c r="O254" s="108"/>
      <c r="P254" s="108"/>
      <c r="Q254" s="98"/>
    </row>
    <row r="255" spans="1:17" ht="45" customHeight="1" x14ac:dyDescent="0.25">
      <c r="A255" s="180" t="s">
        <v>738</v>
      </c>
      <c r="B255" s="180"/>
      <c r="C255" s="181"/>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82" t="str">
        <f>$B$8&amp;": Discipline Issued"</f>
        <v>Q3: Discipline Issued</v>
      </c>
      <c r="B265" s="182"/>
      <c r="C265" s="182"/>
      <c r="D265" s="182"/>
      <c r="E265" s="182"/>
      <c r="F265" s="182"/>
      <c r="G265" s="182"/>
      <c r="H265" s="182"/>
      <c r="I265" s="182"/>
      <c r="J265" s="182"/>
      <c r="K265" s="182"/>
      <c r="L265" s="182"/>
      <c r="M265" s="182"/>
      <c r="N265" s="182"/>
      <c r="O265" s="182"/>
      <c r="P265" s="182"/>
      <c r="Q265" s="182"/>
    </row>
    <row r="266" spans="1:17" x14ac:dyDescent="0.25">
      <c r="A266" s="182"/>
      <c r="B266" s="182"/>
      <c r="C266" s="182"/>
      <c r="D266" s="182"/>
      <c r="E266" s="182"/>
      <c r="F266" s="182"/>
      <c r="G266" s="182"/>
      <c r="H266" s="182"/>
      <c r="I266" s="182"/>
      <c r="J266" s="182"/>
      <c r="K266" s="182"/>
      <c r="L266" s="182"/>
      <c r="M266" s="182"/>
      <c r="N266" s="182"/>
      <c r="O266" s="182"/>
      <c r="P266" s="182"/>
      <c r="Q266" s="182"/>
    </row>
    <row r="267" spans="1:17" ht="21" customHeight="1" x14ac:dyDescent="0.25">
      <c r="A267" s="183" t="s">
        <v>728</v>
      </c>
      <c r="B267" s="183"/>
      <c r="C267" s="183"/>
      <c r="D267" s="183"/>
      <c r="E267" s="183"/>
      <c r="F267" s="183"/>
      <c r="G267" s="183"/>
      <c r="H267" s="183"/>
      <c r="I267" s="183"/>
      <c r="J267" s="183"/>
      <c r="K267" s="183"/>
      <c r="L267" s="183"/>
      <c r="M267" s="183"/>
      <c r="N267" s="183"/>
      <c r="O267" s="183"/>
      <c r="P267" s="183"/>
      <c r="Q267" s="183"/>
    </row>
    <row r="268" spans="1:17" ht="75" x14ac:dyDescent="0.25">
      <c r="A268" s="173" t="s">
        <v>701</v>
      </c>
      <c r="B268" s="173"/>
      <c r="C268" s="174"/>
      <c r="D268" s="7" t="s">
        <v>662</v>
      </c>
      <c r="E268" s="7" t="s">
        <v>663</v>
      </c>
      <c r="F268" s="7" t="s">
        <v>664</v>
      </c>
      <c r="G268" s="7" t="s">
        <v>665</v>
      </c>
      <c r="H268" s="7" t="s">
        <v>666</v>
      </c>
      <c r="I268" s="7" t="s">
        <v>667</v>
      </c>
      <c r="J268" s="7" t="s">
        <v>668</v>
      </c>
      <c r="K268" s="7" t="s">
        <v>669</v>
      </c>
      <c r="L268" s="80" t="s">
        <v>670</v>
      </c>
      <c r="M268" s="7" t="s">
        <v>702</v>
      </c>
      <c r="N268" s="172" t="s">
        <v>33</v>
      </c>
      <c r="O268" s="172"/>
      <c r="P268" s="184" t="str">
        <f>'Start Here'!C$13</f>
        <v>Wharton Police Department</v>
      </c>
      <c r="Q268" s="184"/>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72" t="s">
        <v>34</v>
      </c>
      <c r="O269" s="172"/>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73" t="s">
        <v>699</v>
      </c>
      <c r="B280" s="173"/>
      <c r="C280" s="174"/>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5" t="s">
        <v>700</v>
      </c>
      <c r="B299" s="175"/>
      <c r="C299" s="176"/>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E842-BDEF-45D2-AE44-10036EA9CD33}">
  <sheetPr>
    <tabColor theme="5" tint="0.79998168889431442"/>
    <pageSetUpPr fitToPage="1"/>
  </sheetPr>
  <dimension ref="A2:AE307"/>
  <sheetViews>
    <sheetView view="pageBreakPreview" topLeftCell="A7" zoomScaleNormal="100" zoomScaleSheetLayoutView="100" zoomScalePageLayoutView="60" workbookViewId="0">
      <selection activeCell="O21" sqref="O2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8554687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65" t="s">
        <v>638</v>
      </c>
      <c r="B3" s="262"/>
      <c r="C3" s="262"/>
      <c r="D3" s="262"/>
      <c r="E3" s="262"/>
      <c r="F3" s="262"/>
      <c r="G3" s="262"/>
      <c r="H3" s="262"/>
      <c r="I3" s="262"/>
      <c r="J3" s="262"/>
      <c r="K3" s="262"/>
      <c r="L3" s="262"/>
      <c r="M3" s="262"/>
      <c r="N3" s="262"/>
      <c r="O3" s="262"/>
      <c r="P3" s="262"/>
      <c r="Q3" s="262"/>
    </row>
    <row r="4" spans="1:17" ht="26.1" customHeight="1" x14ac:dyDescent="0.25">
      <c r="A4" s="262" t="s">
        <v>585</v>
      </c>
      <c r="B4" s="262"/>
      <c r="C4" s="262"/>
      <c r="D4" s="262"/>
      <c r="E4" s="262"/>
      <c r="F4" s="262"/>
      <c r="G4" s="262"/>
      <c r="H4" s="262"/>
      <c r="I4" s="262"/>
      <c r="J4" s="262"/>
      <c r="K4" s="262"/>
      <c r="L4" s="262"/>
      <c r="M4" s="262"/>
      <c r="N4" s="262"/>
      <c r="O4" s="262"/>
      <c r="P4" s="262"/>
      <c r="Q4" s="262"/>
    </row>
    <row r="5" spans="1:17" ht="17.649999999999999" customHeight="1" x14ac:dyDescent="0.25">
      <c r="A5" s="186" t="s">
        <v>632</v>
      </c>
      <c r="B5" s="186"/>
      <c r="C5" s="186"/>
      <c r="D5" s="186"/>
      <c r="E5" s="186"/>
      <c r="F5" s="186"/>
      <c r="G5" s="186"/>
      <c r="H5" s="186"/>
      <c r="I5" s="186"/>
      <c r="J5" s="186"/>
      <c r="K5" s="186"/>
      <c r="L5" s="186"/>
      <c r="M5" s="186"/>
      <c r="N5" s="186"/>
      <c r="O5" s="186"/>
      <c r="P5" s="186"/>
      <c r="Q5" s="186"/>
    </row>
    <row r="6" spans="1:17" ht="22.15" customHeight="1" x14ac:dyDescent="0.25">
      <c r="A6" s="186"/>
      <c r="B6" s="186"/>
      <c r="C6" s="186"/>
      <c r="D6" s="186"/>
      <c r="E6" s="186"/>
      <c r="F6" s="186"/>
      <c r="G6" s="186"/>
      <c r="H6" s="186"/>
      <c r="I6" s="186"/>
      <c r="J6" s="186"/>
      <c r="K6" s="186"/>
      <c r="L6" s="186"/>
      <c r="M6" s="186"/>
      <c r="N6" s="186"/>
      <c r="O6" s="186"/>
      <c r="P6" s="186"/>
      <c r="Q6" s="186"/>
    </row>
    <row r="7" spans="1:17" ht="15.75" thickBot="1" x14ac:dyDescent="0.3"/>
    <row r="8" spans="1:17" ht="36" x14ac:dyDescent="0.3">
      <c r="A8" s="121" t="s">
        <v>741</v>
      </c>
      <c r="B8" s="122" t="s">
        <v>745</v>
      </c>
      <c r="C8" s="265" t="str">
        <f>$B$8&amp;" Internal Affairs Summary"</f>
        <v>Q4 Internal Affairs Summary</v>
      </c>
      <c r="D8" s="265"/>
      <c r="E8" s="265"/>
      <c r="F8" s="265"/>
      <c r="G8" s="265"/>
      <c r="H8" s="265"/>
      <c r="I8" s="265"/>
      <c r="J8" s="265"/>
      <c r="K8" s="265"/>
      <c r="L8" s="265"/>
      <c r="M8" s="265"/>
      <c r="N8" s="265"/>
      <c r="O8" s="265"/>
    </row>
    <row r="9" spans="1:17" ht="33" customHeight="1" x14ac:dyDescent="0.3">
      <c r="A9" s="123" t="s">
        <v>619</v>
      </c>
      <c r="B9" s="124">
        <f>IF($B$8 = "Q1", DATE($M$49, 1, 1), IF($B$8 = "Q2", DATE($M$49, 4, 1), IF($B$8 = "Q3", DATE($M$49, 7, 1), IF($B$8 = "Q4", DATE($M$49, 10, 1), DATE($M$49, 1, 1)))))</f>
        <v>45200</v>
      </c>
      <c r="C9" s="266">
        <f>'Start Here'!$C$16</f>
        <v>2023</v>
      </c>
      <c r="D9" s="265"/>
      <c r="E9" s="265"/>
      <c r="F9" s="265"/>
      <c r="G9" s="265"/>
      <c r="H9" s="265"/>
      <c r="I9" s="265"/>
      <c r="J9" s="265"/>
      <c r="K9" s="265"/>
      <c r="L9" s="265"/>
      <c r="M9" s="265"/>
      <c r="N9" s="265"/>
      <c r="O9" s="265"/>
      <c r="P9" s="119"/>
      <c r="Q9" s="119"/>
    </row>
    <row r="10" spans="1:17" ht="21" customHeight="1" thickBot="1" x14ac:dyDescent="0.35">
      <c r="A10" s="125" t="s">
        <v>620</v>
      </c>
      <c r="B10" s="126">
        <f>IF($B$8 = "Q1", DATE($M$49, 3, 31), IF($B$8 = "Q2", DATE($M$49, 6, 30), IF($B$8 = "Q3", DATE($M$49, 9, 30), IF($B$8 = "Q4", DATE($M$49, 12, 31), DATE($M$49, 12, 31)))))</f>
        <v>45291</v>
      </c>
      <c r="C10" s="267" t="str">
        <f>"Internal Affairs: "&amp;$B$8&amp;" Snapshot"</f>
        <v>Internal Affairs: Q4 Snapshot</v>
      </c>
      <c r="D10" s="182"/>
      <c r="E10" s="182"/>
      <c r="F10" s="182"/>
      <c r="G10" s="182"/>
      <c r="H10" s="182"/>
      <c r="I10" s="182"/>
      <c r="J10" s="182"/>
      <c r="K10" s="182"/>
      <c r="L10" s="182"/>
      <c r="M10" s="182"/>
      <c r="N10" s="182"/>
      <c r="O10" s="182"/>
      <c r="P10" s="119"/>
      <c r="Q10" s="119"/>
    </row>
    <row r="12" spans="1:17" ht="18.75" x14ac:dyDescent="0.3">
      <c r="A12" s="246" t="str">
        <f>"This sheet contains some top-line facts and figures for Internal Affairs cases closed in "&amp;$B$8&amp;"."</f>
        <v>This sheet contains some top-line facts and figures for Internal Affairs cases closed in Q4.</v>
      </c>
      <c r="B12" s="262"/>
      <c r="C12" s="262"/>
      <c r="D12" s="262"/>
      <c r="E12" s="262"/>
      <c r="F12" s="262"/>
      <c r="G12" s="262"/>
      <c r="H12" s="262"/>
      <c r="I12" s="262"/>
      <c r="J12" s="262"/>
      <c r="K12" s="262"/>
      <c r="L12" s="262"/>
      <c r="M12" s="262"/>
      <c r="N12" s="262"/>
      <c r="O12" s="262"/>
      <c r="P12" s="262"/>
      <c r="Q12" s="262"/>
    </row>
    <row r="13" spans="1:17" ht="18.75" x14ac:dyDescent="0.3">
      <c r="A13" s="246" t="s">
        <v>705</v>
      </c>
      <c r="B13" s="246"/>
      <c r="C13" s="246"/>
      <c r="D13" s="246"/>
      <c r="E13" s="246"/>
      <c r="F13" s="246"/>
      <c r="G13" s="246"/>
      <c r="H13" s="246"/>
      <c r="I13" s="246"/>
      <c r="J13" s="246"/>
      <c r="K13" s="246"/>
      <c r="L13" s="246"/>
      <c r="M13" s="246"/>
      <c r="N13" s="246"/>
      <c r="O13" s="246"/>
      <c r="P13" s="246"/>
      <c r="Q13" s="246"/>
    </row>
    <row r="15" spans="1:17" ht="40.5" customHeight="1" x14ac:dyDescent="0.25">
      <c r="A15" s="94"/>
      <c r="B15" s="94"/>
      <c r="C15" s="94"/>
      <c r="D15" s="94"/>
      <c r="E15" s="95"/>
      <c r="F15" s="263" t="s">
        <v>706</v>
      </c>
      <c r="G15" s="264"/>
      <c r="H15" s="233" t="s">
        <v>707</v>
      </c>
      <c r="I15" s="233"/>
      <c r="J15" s="233" t="s">
        <v>708</v>
      </c>
      <c r="K15" s="233"/>
      <c r="L15" s="233" t="s">
        <v>703</v>
      </c>
      <c r="M15" s="233"/>
      <c r="N15" s="94"/>
      <c r="O15" s="94"/>
      <c r="P15" s="94"/>
      <c r="Q15" s="94"/>
    </row>
    <row r="16" spans="1:17" ht="18.75" x14ac:dyDescent="0.3">
      <c r="C16" s="73"/>
      <c r="D16" s="73"/>
      <c r="E16" s="90" t="s">
        <v>658</v>
      </c>
      <c r="F16" s="251">
        <f t="shared" ref="F16:F24" si="0">COUNTIFS(PendingStatus,"Closed",PendingMSO,$E16,PendingCloseDate,"&gt;="&amp;$B$9,PendingCloseDate,"&lt;="&amp;$B$10) + COUNTIFS(OpenedStatus,"Closed",OpenedMSO,$E16,OpenedCloseDate,"&gt;="&amp;$B$9,OpenedCloseDate,"&lt;="&amp;$B$10)</f>
        <v>0</v>
      </c>
      <c r="G16" s="254"/>
      <c r="H16" s="252">
        <f t="shared" ref="H16:H24" si="1">COUNTIFS(PendingMSO,$E16,PendingStatus,"Closed",PendingMSOMatch,"Yes",PendingCloseDate,"&gt;="&amp;$B$9,PendingCloseDate,"&lt;="&amp;$B$10) + COUNTIFS(OpenedMSO,$E16,OpenedStatus,"Closed",OpenedMSOMatch,"Yes",OpenedCloseDate,"&gt;="&amp;$B$9,OpenedCloseDate,"&lt;="&amp;$B$10)</f>
        <v>0</v>
      </c>
      <c r="I16" s="252"/>
      <c r="J16" s="252">
        <f t="shared" ref="J16:J24" si="2">COUNTIFS(PendingMSO,$E16,PendingStatus,"Closed",PendingMSOMatch, "&lt;&gt;Yes", PendingInternalDisposition, "Sustained", PendingCloseDate,"&gt;="&amp;$B$9,PendingCloseDate,"&lt;="&amp;$B$10) + COUNTIFS(OpenedMSO,$E16, OpenedStatus,"Closed",OpenedMSOMatch, "&lt;&gt;Yes", OpenedInternalDisposition, "Sustained", OpenedCloseDate,"&gt;="&amp;$B$9,OpenedCloseDate,"&lt;="&amp;$B$10)</f>
        <v>0</v>
      </c>
      <c r="K16" s="252"/>
      <c r="L16" s="252">
        <f t="shared" ref="L16:L24" si="3">COUNTIFS(PendingMSO,$E16,PendingInternalDisposition, "&lt;&gt;Sustained", PendingCloseDate,"&gt;="&amp;$B$9,PendingCloseDate,"&lt;="&amp;$B$10) + COUNTIFS(OpenedMSO,$E16,OpenedInternalDisposition, "&lt;&gt;Sustained", OpenedCloseDate,"&gt;="&amp;$B$9,OpenedCloseDate,"&lt;="&amp;$B$10)</f>
        <v>0</v>
      </c>
      <c r="M16" s="252"/>
    </row>
    <row r="17" spans="3:16" ht="18.75" x14ac:dyDescent="0.3">
      <c r="C17" s="67"/>
      <c r="D17" s="67"/>
      <c r="E17" s="91" t="s">
        <v>651</v>
      </c>
      <c r="F17" s="261">
        <f t="shared" si="0"/>
        <v>0</v>
      </c>
      <c r="G17" s="256"/>
      <c r="H17" s="255">
        <f t="shared" si="1"/>
        <v>0</v>
      </c>
      <c r="I17" s="255"/>
      <c r="J17" s="255">
        <f t="shared" si="2"/>
        <v>0</v>
      </c>
      <c r="K17" s="255"/>
      <c r="L17" s="255">
        <f t="shared" si="3"/>
        <v>0</v>
      </c>
      <c r="M17" s="255"/>
    </row>
    <row r="18" spans="3:16" ht="18.75" x14ac:dyDescent="0.3">
      <c r="E18" s="92" t="s">
        <v>652</v>
      </c>
      <c r="F18" s="257">
        <f t="shared" si="0"/>
        <v>0</v>
      </c>
      <c r="G18" s="247"/>
      <c r="H18" s="246">
        <f t="shared" si="1"/>
        <v>0</v>
      </c>
      <c r="I18" s="246"/>
      <c r="J18" s="246">
        <f t="shared" si="2"/>
        <v>0</v>
      </c>
      <c r="K18" s="246"/>
      <c r="L18" s="246">
        <f t="shared" si="3"/>
        <v>0</v>
      </c>
      <c r="M18" s="246"/>
    </row>
    <row r="19" spans="3:16" ht="18.75" x14ac:dyDescent="0.3">
      <c r="C19" s="67"/>
      <c r="D19" s="67"/>
      <c r="E19" s="91" t="s">
        <v>653</v>
      </c>
      <c r="F19" s="261">
        <f t="shared" si="0"/>
        <v>0</v>
      </c>
      <c r="G19" s="256"/>
      <c r="H19" s="255">
        <f t="shared" si="1"/>
        <v>0</v>
      </c>
      <c r="I19" s="255"/>
      <c r="J19" s="255">
        <f t="shared" si="2"/>
        <v>0</v>
      </c>
      <c r="K19" s="255"/>
      <c r="L19" s="255">
        <f t="shared" si="3"/>
        <v>0</v>
      </c>
      <c r="M19" s="255"/>
    </row>
    <row r="20" spans="3:16" ht="18.75" x14ac:dyDescent="0.3">
      <c r="E20" s="92" t="s">
        <v>654</v>
      </c>
      <c r="F20" s="257">
        <f t="shared" si="0"/>
        <v>0</v>
      </c>
      <c r="G20" s="247"/>
      <c r="H20" s="246">
        <f t="shared" si="1"/>
        <v>0</v>
      </c>
      <c r="I20" s="246"/>
      <c r="J20" s="246">
        <f t="shared" si="2"/>
        <v>0</v>
      </c>
      <c r="K20" s="246"/>
      <c r="L20" s="246">
        <f t="shared" si="3"/>
        <v>0</v>
      </c>
      <c r="M20" s="246"/>
    </row>
    <row r="21" spans="3:16" ht="18.75" x14ac:dyDescent="0.3">
      <c r="C21" s="67"/>
      <c r="D21" s="67"/>
      <c r="E21" s="91" t="s">
        <v>655</v>
      </c>
      <c r="F21" s="261">
        <f t="shared" si="0"/>
        <v>0</v>
      </c>
      <c r="G21" s="256"/>
      <c r="H21" s="255">
        <f t="shared" si="1"/>
        <v>0</v>
      </c>
      <c r="I21" s="255"/>
      <c r="J21" s="255">
        <f t="shared" si="2"/>
        <v>0</v>
      </c>
      <c r="K21" s="255"/>
      <c r="L21" s="255">
        <f t="shared" si="3"/>
        <v>0</v>
      </c>
      <c r="M21" s="255"/>
    </row>
    <row r="22" spans="3:16" ht="18.75" x14ac:dyDescent="0.3">
      <c r="E22" s="92" t="s">
        <v>656</v>
      </c>
      <c r="F22" s="257">
        <f t="shared" si="0"/>
        <v>0</v>
      </c>
      <c r="G22" s="247"/>
      <c r="H22" s="246">
        <f t="shared" si="1"/>
        <v>0</v>
      </c>
      <c r="I22" s="246"/>
      <c r="J22" s="246">
        <f t="shared" si="2"/>
        <v>0</v>
      </c>
      <c r="K22" s="246"/>
      <c r="L22" s="246">
        <f t="shared" si="3"/>
        <v>0</v>
      </c>
      <c r="M22" s="246"/>
    </row>
    <row r="23" spans="3:16" ht="18.75" x14ac:dyDescent="0.3">
      <c r="C23" s="67"/>
      <c r="D23" s="67"/>
      <c r="E23" s="91" t="s">
        <v>5</v>
      </c>
      <c r="F23" s="261">
        <f t="shared" si="0"/>
        <v>0</v>
      </c>
      <c r="G23" s="256"/>
      <c r="H23" s="255">
        <f t="shared" si="1"/>
        <v>0</v>
      </c>
      <c r="I23" s="255"/>
      <c r="J23" s="255">
        <f t="shared" si="2"/>
        <v>0</v>
      </c>
      <c r="K23" s="255"/>
      <c r="L23" s="255">
        <f t="shared" si="3"/>
        <v>0</v>
      </c>
      <c r="M23" s="255"/>
    </row>
    <row r="24" spans="3:16" ht="18.75" x14ac:dyDescent="0.3">
      <c r="E24" s="92" t="s">
        <v>657</v>
      </c>
      <c r="F24" s="257">
        <f t="shared" si="0"/>
        <v>0</v>
      </c>
      <c r="G24" s="247"/>
      <c r="H24" s="246">
        <f t="shared" si="1"/>
        <v>0</v>
      </c>
      <c r="I24" s="246"/>
      <c r="J24" s="246">
        <f t="shared" si="2"/>
        <v>0</v>
      </c>
      <c r="K24" s="246"/>
      <c r="L24" s="246">
        <f t="shared" si="3"/>
        <v>0</v>
      </c>
      <c r="M24" s="246"/>
    </row>
    <row r="25" spans="3:16" ht="18.75" x14ac:dyDescent="0.3">
      <c r="C25" s="78"/>
      <c r="D25" s="78"/>
      <c r="E25" s="93" t="s">
        <v>615</v>
      </c>
      <c r="F25" s="258">
        <f>SUM(F16:F24)</f>
        <v>0</v>
      </c>
      <c r="G25" s="259"/>
      <c r="H25" s="260">
        <f t="shared" ref="H25" si="4">SUM(H16:H24)</f>
        <v>0</v>
      </c>
      <c r="I25" s="260"/>
      <c r="J25" s="260">
        <f>SUM(J16:J24)</f>
        <v>0</v>
      </c>
      <c r="K25" s="260"/>
      <c r="L25" s="260">
        <f>SUM(L16:L24)</f>
        <v>0</v>
      </c>
      <c r="M25" s="260"/>
    </row>
    <row r="28" spans="3:16" ht="21" x14ac:dyDescent="0.35">
      <c r="F28" s="248" t="str">
        <f>"Distribution of sources for complaints closed in "&amp;$B$8</f>
        <v>Distribution of sources for complaints closed in Q4</v>
      </c>
      <c r="G28" s="248"/>
      <c r="H28" s="248"/>
      <c r="I28" s="248"/>
      <c r="J28" s="248"/>
      <c r="K28" s="248"/>
      <c r="L28" s="100"/>
      <c r="M28" s="99"/>
      <c r="N28" s="99"/>
      <c r="O28" s="99"/>
      <c r="P28" s="99"/>
    </row>
    <row r="29" spans="3:16" ht="18.75" x14ac:dyDescent="0.3">
      <c r="F29" s="137"/>
      <c r="G29" s="137"/>
      <c r="H29" s="137"/>
      <c r="I29" s="137"/>
      <c r="J29" s="137"/>
      <c r="K29" s="137"/>
      <c r="L29" s="99"/>
      <c r="M29" s="99"/>
      <c r="N29" s="99"/>
      <c r="O29" s="99"/>
      <c r="P29" s="99"/>
    </row>
    <row r="30" spans="3:16" ht="18.75" x14ac:dyDescent="0.3">
      <c r="F30" s="249" t="s">
        <v>26</v>
      </c>
      <c r="G30" s="249"/>
      <c r="H30" s="250" t="s">
        <v>28</v>
      </c>
      <c r="I30" s="250"/>
      <c r="J30" s="249" t="s">
        <v>27</v>
      </c>
      <c r="K30" s="249"/>
      <c r="L30" s="99"/>
      <c r="M30" s="99"/>
      <c r="N30" s="99"/>
      <c r="O30" s="99"/>
      <c r="P30" s="99"/>
    </row>
    <row r="31" spans="3:16" ht="18.75" x14ac:dyDescent="0.3">
      <c r="E31" s="134" t="s">
        <v>709</v>
      </c>
      <c r="F31" s="251">
        <f>COUNTIFS(PendingComplaintSource, F30, PendingCloseDate,"&gt;="&amp;$B$9,PendingCloseDate,"&lt;="&amp;$B$10) + COUNTIFS(OpenedComplaintSource, F30, OpenedCloseDate,"&gt;="&amp;$B$9,OpenedCloseDate,"&lt;="&amp;$B$10)</f>
        <v>0</v>
      </c>
      <c r="G31" s="252"/>
      <c r="H31" s="253">
        <f>COUNTIFS(PendingComplaintSource, H30, PendingCloseDate,"&gt;="&amp;$B$9,PendingCloseDate,"&lt;="&amp;$B$10) + COUNTIFS(OpenedComplaintSource, H30, OpenedCloseDate,"&gt;="&amp;$B$9,OpenedCloseDate,"&lt;="&amp;$B$10)</f>
        <v>0</v>
      </c>
      <c r="I31" s="253"/>
      <c r="J31" s="252">
        <f>COUNTIFS(PendingComplaintSource, J30, PendingCloseDate,"&gt;="&amp;$B$9,PendingCloseDate,"&lt;="&amp;$B$10) + COUNTIFS(OpenedComplaintSource, J30, OpenedCloseDate,"&gt;="&amp;$B$9,OpenedCloseDate,"&lt;="&amp;$B$10)</f>
        <v>0</v>
      </c>
      <c r="K31" s="254"/>
      <c r="L31" s="99"/>
      <c r="M31" s="99"/>
      <c r="N31" s="99"/>
      <c r="O31" s="99"/>
      <c r="P31" s="99"/>
    </row>
    <row r="32" spans="3:16" ht="18.75" x14ac:dyDescent="0.3">
      <c r="E32" s="120" t="s">
        <v>710</v>
      </c>
      <c r="F32" s="223" t="str">
        <f t="shared" ref="F32" si="5">IF(SUM($F31:$J31)=0, "", F31/SUM($F31:$J31))</f>
        <v/>
      </c>
      <c r="G32" s="224"/>
      <c r="H32" s="225" t="str">
        <f t="shared" ref="H32" si="6">IF(SUM($F31:$J31)=0, "", H31/SUM($F31:$J31))</f>
        <v/>
      </c>
      <c r="I32" s="225"/>
      <c r="J32" s="224" t="str">
        <f>IF(SUM($F31:$J31)=0, "", J31/SUM($F31:$J31))</f>
        <v/>
      </c>
      <c r="K32" s="226"/>
    </row>
    <row r="33" spans="1:17" ht="15.75" thickBot="1" x14ac:dyDescent="0.3"/>
    <row r="34" spans="1:17" ht="36.75" customHeight="1" x14ac:dyDescent="0.3">
      <c r="C34" s="227" t="str">
        <f>"Frequency of discipline by type for complaints closed in "&amp;$B$8</f>
        <v>Frequency of discipline by type for complaints closed in Q4</v>
      </c>
      <c r="D34" s="227"/>
      <c r="E34" s="227"/>
      <c r="F34" s="227"/>
      <c r="G34" s="137"/>
      <c r="I34" s="228" t="str">
        <f>$B$8&amp;" Summary"</f>
        <v>Q4 Summary</v>
      </c>
      <c r="J34" s="228"/>
      <c r="K34" s="228"/>
      <c r="M34" s="229" t="s">
        <v>625</v>
      </c>
      <c r="N34" s="230"/>
      <c r="O34" s="230"/>
      <c r="P34" s="231"/>
    </row>
    <row r="35" spans="1:17" ht="18.75" customHeight="1" x14ac:dyDescent="0.3">
      <c r="B35" s="73"/>
      <c r="C35" s="73"/>
      <c r="D35" s="73"/>
      <c r="E35" s="136"/>
      <c r="F35" s="90" t="s">
        <v>662</v>
      </c>
      <c r="G35" s="136">
        <f t="shared" ref="G35:G44" si="7">COUNTIFS(PendingDiscipline,$F35,PendingCloseDate,"&gt;="&amp;$B$9,PendingCloseDate,"&lt;="&amp;$B$10) + COUNTIFS(OpenedDiscipline,$F35,OpenedCloseDate,"&gt;="&amp;$B$9,OpenedCloseDate,"&lt;="&amp;$B$10)</f>
        <v>0</v>
      </c>
      <c r="I35" s="238" t="s">
        <v>621</v>
      </c>
      <c r="J35" s="239"/>
      <c r="K35" s="242">
        <f>SUM($B$67:$D$67)</f>
        <v>3</v>
      </c>
      <c r="M35" s="232"/>
      <c r="N35" s="233"/>
      <c r="O35" s="233"/>
      <c r="P35" s="234"/>
    </row>
    <row r="36" spans="1:17" ht="18.75" x14ac:dyDescent="0.3">
      <c r="B36" s="67"/>
      <c r="C36" s="67"/>
      <c r="D36" s="67"/>
      <c r="E36" s="139"/>
      <c r="F36" s="91" t="s">
        <v>663</v>
      </c>
      <c r="G36" s="139">
        <f t="shared" si="7"/>
        <v>0</v>
      </c>
      <c r="I36" s="240"/>
      <c r="J36" s="241"/>
      <c r="K36" s="243"/>
      <c r="M36" s="232"/>
      <c r="N36" s="233"/>
      <c r="O36" s="233"/>
      <c r="P36" s="234"/>
    </row>
    <row r="37" spans="1:17" ht="18.75" customHeight="1" x14ac:dyDescent="0.3">
      <c r="E37" s="138"/>
      <c r="F37" s="92" t="s">
        <v>664</v>
      </c>
      <c r="G37" s="138">
        <f t="shared" si="7"/>
        <v>0</v>
      </c>
      <c r="I37" s="244" t="s">
        <v>643</v>
      </c>
      <c r="J37" s="245"/>
      <c r="K37" s="106">
        <f>SUM($E$67:$G$67)</f>
        <v>0</v>
      </c>
      <c r="M37" s="232"/>
      <c r="N37" s="233"/>
      <c r="O37" s="233"/>
      <c r="P37" s="234"/>
    </row>
    <row r="38" spans="1:17" ht="18.75" x14ac:dyDescent="0.3">
      <c r="B38" s="67"/>
      <c r="C38" s="67"/>
      <c r="D38" s="67"/>
      <c r="E38" s="139"/>
      <c r="F38" s="91" t="s">
        <v>665</v>
      </c>
      <c r="G38" s="139">
        <f t="shared" si="7"/>
        <v>0</v>
      </c>
      <c r="I38" s="246" t="s">
        <v>622</v>
      </c>
      <c r="J38" s="247"/>
      <c r="K38" s="107">
        <f>$B$82</f>
        <v>0</v>
      </c>
      <c r="M38" s="232"/>
      <c r="N38" s="233"/>
      <c r="O38" s="233"/>
      <c r="P38" s="234"/>
    </row>
    <row r="39" spans="1:17" ht="18.75" x14ac:dyDescent="0.3">
      <c r="E39" s="138"/>
      <c r="F39" s="92" t="s">
        <v>666</v>
      </c>
      <c r="G39" s="138">
        <f t="shared" si="7"/>
        <v>0</v>
      </c>
      <c r="I39" s="255" t="s">
        <v>623</v>
      </c>
      <c r="J39" s="256"/>
      <c r="K39" s="106">
        <f>COUNTIFS(OpenedInternalDisposition, "Sustained", OpenedCloseDate,"&gt;="&amp;$B$9, OpenedCloseDate, "&lt;="&amp;$B$10, OpenedStatus, "Closed")+COUNTIFS(PendingInternalDisposition, "Sustained", PendingCloseDate, "&gt;="&amp;$B$9, PendingCloseDate, "&lt;="&amp;$B$10, PendingStatus,"Closed")</f>
        <v>0</v>
      </c>
      <c r="M39" s="232"/>
      <c r="N39" s="233"/>
      <c r="O39" s="233"/>
      <c r="P39" s="234"/>
    </row>
    <row r="40" spans="1:17" ht="18.75" x14ac:dyDescent="0.3">
      <c r="B40" s="67"/>
      <c r="C40" s="67"/>
      <c r="D40" s="67"/>
      <c r="E40" s="139"/>
      <c r="F40" s="91" t="s">
        <v>667</v>
      </c>
      <c r="G40" s="139">
        <f t="shared" si="7"/>
        <v>0</v>
      </c>
      <c r="I40" s="246" t="s">
        <v>618</v>
      </c>
      <c r="J40" s="247"/>
      <c r="K40" s="107">
        <f>COUNTIFS(PendingInternalDisposition, "&lt;&gt;Sustained", PendingCloseDate, "&gt;="&amp;$B$9, PendingCloseDate, "&lt;="&amp;$B$10, PendingStatus, "Closed")+COUNTIFS(OpenedInternalDisposition, "&lt;&gt;Sustained", OpenedCloseDate, "&gt;="&amp;$B$9, OpenedCloseDate, "&lt;="&amp;$B$10, OpenedStatus, "Closed")</f>
        <v>0</v>
      </c>
      <c r="M40" s="232"/>
      <c r="N40" s="233"/>
      <c r="O40" s="233"/>
      <c r="P40" s="234"/>
    </row>
    <row r="41" spans="1:17" ht="18.75" x14ac:dyDescent="0.3">
      <c r="E41" s="138"/>
      <c r="F41" s="92" t="s">
        <v>692</v>
      </c>
      <c r="G41" s="138">
        <f t="shared" si="7"/>
        <v>0</v>
      </c>
      <c r="I41" s="255" t="s">
        <v>644</v>
      </c>
      <c r="J41" s="256"/>
      <c r="K41" s="106">
        <f>COUNTIFS(PendingStatus, "Closed", PendingCloseDate, "&gt;="&amp;$B$9, PendingCloseDate, "&lt;="&amp;$B$10, PendingLengthOfCase, "&gt;180") + COUNTIFS(OpenedStatus, "Closed", OpenedCloseDate, "&gt;="&amp;$B$9, OpenedCloseDate, "&lt;="&amp;$B$10, OpenedLengthOfCase, "&gt;180")</f>
        <v>0</v>
      </c>
      <c r="M41" s="232"/>
      <c r="N41" s="233"/>
      <c r="O41" s="233"/>
      <c r="P41" s="234"/>
    </row>
    <row r="42" spans="1:17" ht="18.75" customHeight="1" x14ac:dyDescent="0.3">
      <c r="B42" s="67"/>
      <c r="C42" s="67"/>
      <c r="D42" s="67"/>
      <c r="E42" s="139"/>
      <c r="F42" s="91" t="s">
        <v>668</v>
      </c>
      <c r="G42" s="139">
        <f t="shared" si="7"/>
        <v>0</v>
      </c>
      <c r="I42" s="240" t="str">
        <f>"Total Pending  at end of "&amp;$B$8</f>
        <v>Total Pending  at end of Q4</v>
      </c>
      <c r="J42" s="241"/>
      <c r="K42" s="243">
        <f>(SUM(K35:K37))-K38</f>
        <v>3</v>
      </c>
      <c r="M42" s="232"/>
      <c r="N42" s="233"/>
      <c r="O42" s="233"/>
      <c r="P42" s="234"/>
    </row>
    <row r="43" spans="1:17" ht="18.75" x14ac:dyDescent="0.3">
      <c r="E43" s="138"/>
      <c r="F43" s="92" t="s">
        <v>669</v>
      </c>
      <c r="G43" s="138">
        <f t="shared" si="7"/>
        <v>0</v>
      </c>
      <c r="I43" s="240"/>
      <c r="J43" s="241"/>
      <c r="K43" s="243"/>
      <c r="M43" s="232"/>
      <c r="N43" s="233"/>
      <c r="O43" s="233"/>
      <c r="P43" s="234"/>
    </row>
    <row r="44" spans="1:17" ht="19.5" thickBot="1" x14ac:dyDescent="0.35">
      <c r="B44" s="67"/>
      <c r="C44" s="67"/>
      <c r="D44" s="67"/>
      <c r="E44" s="139"/>
      <c r="F44" s="91" t="s">
        <v>670</v>
      </c>
      <c r="G44" s="139">
        <f t="shared" si="7"/>
        <v>0</v>
      </c>
      <c r="I44" s="73"/>
      <c r="J44" s="73"/>
      <c r="K44" s="73"/>
      <c r="M44" s="235"/>
      <c r="N44" s="236"/>
      <c r="O44" s="236"/>
      <c r="P44" s="237"/>
    </row>
    <row r="45" spans="1:17" ht="18.75" x14ac:dyDescent="0.3">
      <c r="B45" s="73"/>
      <c r="C45" s="73"/>
      <c r="D45" s="73"/>
      <c r="E45" s="73"/>
      <c r="F45" s="96" t="s">
        <v>615</v>
      </c>
      <c r="G45" s="97">
        <f>SUM(G35:G44)</f>
        <v>0</v>
      </c>
    </row>
    <row r="48" spans="1:17" x14ac:dyDescent="0.25">
      <c r="A48" s="1"/>
      <c r="K48" s="172" t="s">
        <v>33</v>
      </c>
      <c r="L48" s="172"/>
      <c r="M48" s="184" t="str">
        <f>'Start Here'!C$13</f>
        <v>Wharton Police Department</v>
      </c>
      <c r="N48" s="184"/>
      <c r="O48" s="184"/>
      <c r="P48" s="184"/>
      <c r="Q48" s="184"/>
    </row>
    <row r="49" spans="1:31" x14ac:dyDescent="0.25">
      <c r="A49" s="1"/>
      <c r="K49" s="172" t="s">
        <v>34</v>
      </c>
      <c r="L49" s="172"/>
      <c r="M49" s="12">
        <f>'Start Here'!$C$16</f>
        <v>2023</v>
      </c>
    </row>
    <row r="50" spans="1:31" x14ac:dyDescent="0.25">
      <c r="K50" s="29"/>
      <c r="L50" s="29"/>
    </row>
    <row r="51" spans="1:31" ht="14.45" customHeight="1" x14ac:dyDescent="0.25">
      <c r="A51" s="128"/>
      <c r="B51" s="128"/>
      <c r="C51" s="128"/>
      <c r="D51" s="128"/>
      <c r="E51" s="128"/>
      <c r="F51" s="128"/>
      <c r="G51" s="128"/>
      <c r="H51" s="128"/>
      <c r="I51" s="128"/>
      <c r="J51" s="128"/>
      <c r="K51" s="128"/>
      <c r="L51" s="128"/>
      <c r="M51" s="128"/>
      <c r="N51" s="128"/>
      <c r="O51" s="128"/>
      <c r="P51" s="128"/>
      <c r="Q51" s="128"/>
    </row>
    <row r="52" spans="1:31" ht="14.45" customHeight="1" x14ac:dyDescent="0.25">
      <c r="A52" s="207" t="str">
        <f>$B$8&amp;": Cases Opened and Closed, All Allegations"</f>
        <v>Q4: Cases Opened and Closed, All Allegations</v>
      </c>
      <c r="B52" s="207"/>
      <c r="C52" s="207"/>
      <c r="D52" s="207"/>
      <c r="E52" s="207"/>
      <c r="F52" s="207"/>
      <c r="G52" s="207"/>
      <c r="H52" s="207"/>
      <c r="I52" s="207"/>
      <c r="J52" s="207"/>
      <c r="K52" s="207"/>
      <c r="L52" s="207"/>
      <c r="M52" s="207"/>
      <c r="N52" s="207"/>
      <c r="O52" s="207"/>
      <c r="P52" s="207"/>
      <c r="Q52" s="207"/>
    </row>
    <row r="53" spans="1:31" ht="14.65" customHeight="1" x14ac:dyDescent="0.25">
      <c r="A53" s="207"/>
      <c r="B53" s="207"/>
      <c r="C53" s="207"/>
      <c r="D53" s="207"/>
      <c r="E53" s="207"/>
      <c r="F53" s="207"/>
      <c r="G53" s="207"/>
      <c r="H53" s="207"/>
      <c r="I53" s="207"/>
      <c r="J53" s="207"/>
      <c r="K53" s="207"/>
      <c r="L53" s="207"/>
      <c r="M53" s="207"/>
      <c r="N53" s="207"/>
      <c r="O53" s="207"/>
      <c r="P53" s="207"/>
      <c r="Q53" s="207"/>
    </row>
    <row r="54" spans="1:31" ht="21" x14ac:dyDescent="0.25">
      <c r="A54" s="183" t="s">
        <v>713</v>
      </c>
      <c r="B54" s="183"/>
      <c r="C54" s="183"/>
      <c r="D54" s="183"/>
      <c r="E54" s="183"/>
      <c r="F54" s="183"/>
      <c r="G54" s="183"/>
      <c r="H54" s="183"/>
      <c r="I54" s="183"/>
      <c r="J54" s="183"/>
      <c r="K54" s="45"/>
      <c r="L54" s="45"/>
      <c r="M54" s="45"/>
      <c r="N54" s="45"/>
      <c r="O54" s="45"/>
      <c r="P54" s="45"/>
      <c r="Q54" s="45"/>
    </row>
    <row r="55" spans="1:31" ht="15.75" thickBot="1" x14ac:dyDescent="0.3">
      <c r="B55" s="175" t="s">
        <v>25</v>
      </c>
      <c r="C55" s="175"/>
      <c r="D55" s="175"/>
      <c r="E55" s="175"/>
      <c r="F55" s="175"/>
      <c r="G55" s="175"/>
      <c r="H55" s="175"/>
      <c r="I55" s="175"/>
      <c r="J55" s="175"/>
      <c r="K55" s="27"/>
      <c r="L55" s="27"/>
      <c r="M55" s="27"/>
      <c r="N55" s="27"/>
      <c r="O55" s="27"/>
    </row>
    <row r="56" spans="1:31" ht="26.25" customHeight="1" x14ac:dyDescent="0.25">
      <c r="B56" s="203" t="s">
        <v>32</v>
      </c>
      <c r="C56" s="203"/>
      <c r="D56" s="203"/>
      <c r="E56" s="205" t="s">
        <v>624</v>
      </c>
      <c r="F56" s="203"/>
      <c r="G56" s="203"/>
      <c r="H56" s="206" t="s">
        <v>646</v>
      </c>
      <c r="I56" s="186"/>
      <c r="J56" s="186"/>
      <c r="K56" s="27"/>
      <c r="L56" s="27"/>
      <c r="N56" s="188" t="s">
        <v>715</v>
      </c>
      <c r="O56" s="189"/>
      <c r="P56" s="190"/>
    </row>
    <row r="57" spans="1:31" ht="32.25" customHeight="1" x14ac:dyDescent="0.25">
      <c r="A57" s="129" t="s">
        <v>712</v>
      </c>
      <c r="B57" s="129" t="s">
        <v>28</v>
      </c>
      <c r="C57" s="51" t="s">
        <v>27</v>
      </c>
      <c r="D57" s="53" t="s">
        <v>26</v>
      </c>
      <c r="E57" s="52" t="s">
        <v>28</v>
      </c>
      <c r="F57" s="51" t="s">
        <v>27</v>
      </c>
      <c r="G57" s="53" t="s">
        <v>26</v>
      </c>
      <c r="H57" s="52" t="s">
        <v>28</v>
      </c>
      <c r="I57" s="51" t="s">
        <v>27</v>
      </c>
      <c r="J57" s="51" t="s">
        <v>26</v>
      </c>
      <c r="K57" s="44"/>
      <c r="L57" s="44"/>
      <c r="N57" s="191"/>
      <c r="O57" s="192"/>
      <c r="P57" s="193"/>
      <c r="AE57" s="5"/>
    </row>
    <row r="58" spans="1:31" x14ac:dyDescent="0.25">
      <c r="A58" s="88"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3</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147" t="str">
        <f t="shared" ref="H58:J66" si="10">IF(E58=0,"",(SUMIFS(OpenedNInitial,OpenedMSO,$A58,OpenedComplaintSource,H$57,OpenedComplaintReceived,"&gt;="&amp;$B$9,OpenedComplaintReceived,"&lt;="&amp;$B$10)/E58))</f>
        <v/>
      </c>
      <c r="I58" s="141" t="str">
        <f t="shared" si="10"/>
        <v/>
      </c>
      <c r="J58" s="141" t="str">
        <f t="shared" si="10"/>
        <v/>
      </c>
      <c r="K58" s="29"/>
      <c r="L58" s="29"/>
      <c r="N58" s="191"/>
      <c r="O58" s="192"/>
      <c r="P58" s="193"/>
    </row>
    <row r="59" spans="1:31" x14ac:dyDescent="0.25">
      <c r="A59" s="86" t="s">
        <v>651</v>
      </c>
      <c r="B59" s="30">
        <f t="shared" si="8"/>
        <v>0</v>
      </c>
      <c r="C59" s="30">
        <f t="shared" si="8"/>
        <v>0</v>
      </c>
      <c r="D59" s="30">
        <f t="shared" si="8"/>
        <v>0</v>
      </c>
      <c r="E59" s="36">
        <f t="shared" si="9"/>
        <v>0</v>
      </c>
      <c r="F59" s="30">
        <f t="shared" si="9"/>
        <v>0</v>
      </c>
      <c r="G59" s="30">
        <f t="shared" si="9"/>
        <v>0</v>
      </c>
      <c r="H59" s="146" t="str">
        <f t="shared" si="10"/>
        <v/>
      </c>
      <c r="I59" s="142" t="str">
        <f t="shared" si="10"/>
        <v/>
      </c>
      <c r="J59" s="142" t="str">
        <f t="shared" si="10"/>
        <v/>
      </c>
      <c r="K59" s="29"/>
      <c r="L59" s="29"/>
      <c r="N59" s="191"/>
      <c r="O59" s="192"/>
      <c r="P59" s="193"/>
    </row>
    <row r="60" spans="1:31" x14ac:dyDescent="0.25">
      <c r="A60" s="85" t="s">
        <v>652</v>
      </c>
      <c r="B60" s="29">
        <f t="shared" si="8"/>
        <v>0</v>
      </c>
      <c r="C60" s="29">
        <f t="shared" si="8"/>
        <v>0</v>
      </c>
      <c r="D60" s="29">
        <f t="shared" si="8"/>
        <v>0</v>
      </c>
      <c r="E60" s="35">
        <f t="shared" si="9"/>
        <v>0</v>
      </c>
      <c r="F60" s="29">
        <f t="shared" si="9"/>
        <v>0</v>
      </c>
      <c r="G60" s="29">
        <f t="shared" si="9"/>
        <v>0</v>
      </c>
      <c r="H60" s="147" t="str">
        <f t="shared" si="10"/>
        <v/>
      </c>
      <c r="I60" s="141" t="str">
        <f t="shared" si="10"/>
        <v/>
      </c>
      <c r="J60" s="141" t="str">
        <f t="shared" si="10"/>
        <v/>
      </c>
      <c r="K60" s="29"/>
      <c r="L60" s="29"/>
      <c r="N60" s="191"/>
      <c r="O60" s="192"/>
      <c r="P60" s="193"/>
    </row>
    <row r="61" spans="1:31" x14ac:dyDescent="0.25">
      <c r="A61" s="86" t="s">
        <v>653</v>
      </c>
      <c r="B61" s="30">
        <f t="shared" si="8"/>
        <v>0</v>
      </c>
      <c r="C61" s="30">
        <f t="shared" si="8"/>
        <v>0</v>
      </c>
      <c r="D61" s="30">
        <f t="shared" si="8"/>
        <v>0</v>
      </c>
      <c r="E61" s="36">
        <f t="shared" si="9"/>
        <v>0</v>
      </c>
      <c r="F61" s="30">
        <f t="shared" si="9"/>
        <v>0</v>
      </c>
      <c r="G61" s="30">
        <f t="shared" si="9"/>
        <v>0</v>
      </c>
      <c r="H61" s="146" t="str">
        <f t="shared" si="10"/>
        <v/>
      </c>
      <c r="I61" s="142" t="str">
        <f t="shared" si="10"/>
        <v/>
      </c>
      <c r="J61" s="142" t="str">
        <f t="shared" si="10"/>
        <v/>
      </c>
      <c r="K61" s="29"/>
      <c r="L61" s="29"/>
      <c r="N61" s="191"/>
      <c r="O61" s="192"/>
      <c r="P61" s="193"/>
    </row>
    <row r="62" spans="1:31" x14ac:dyDescent="0.25">
      <c r="A62" s="85" t="s">
        <v>654</v>
      </c>
      <c r="B62" s="29">
        <f t="shared" si="8"/>
        <v>0</v>
      </c>
      <c r="C62" s="29">
        <f t="shared" si="8"/>
        <v>0</v>
      </c>
      <c r="D62" s="29">
        <f t="shared" si="8"/>
        <v>0</v>
      </c>
      <c r="E62" s="35">
        <f t="shared" si="9"/>
        <v>0</v>
      </c>
      <c r="F62" s="29">
        <f t="shared" si="9"/>
        <v>0</v>
      </c>
      <c r="G62" s="29">
        <f t="shared" si="9"/>
        <v>0</v>
      </c>
      <c r="H62" s="147" t="str">
        <f t="shared" si="10"/>
        <v/>
      </c>
      <c r="I62" s="141" t="str">
        <f t="shared" si="10"/>
        <v/>
      </c>
      <c r="J62" s="141" t="str">
        <f t="shared" si="10"/>
        <v/>
      </c>
      <c r="K62" s="29"/>
      <c r="L62" s="29"/>
      <c r="N62" s="191"/>
      <c r="O62" s="192"/>
      <c r="P62" s="193"/>
    </row>
    <row r="63" spans="1:31" x14ac:dyDescent="0.25">
      <c r="A63" s="86" t="s">
        <v>655</v>
      </c>
      <c r="B63" s="30">
        <f t="shared" si="8"/>
        <v>0</v>
      </c>
      <c r="C63" s="30">
        <f t="shared" si="8"/>
        <v>0</v>
      </c>
      <c r="D63" s="30">
        <f t="shared" si="8"/>
        <v>0</v>
      </c>
      <c r="E63" s="36">
        <f t="shared" si="9"/>
        <v>0</v>
      </c>
      <c r="F63" s="30">
        <f t="shared" si="9"/>
        <v>0</v>
      </c>
      <c r="G63" s="30">
        <f t="shared" si="9"/>
        <v>0</v>
      </c>
      <c r="H63" s="146" t="str">
        <f t="shared" si="10"/>
        <v/>
      </c>
      <c r="I63" s="142" t="str">
        <f t="shared" si="10"/>
        <v/>
      </c>
      <c r="J63" s="142" t="str">
        <f t="shared" si="10"/>
        <v/>
      </c>
      <c r="K63" s="29"/>
      <c r="L63" s="29"/>
      <c r="N63" s="191"/>
      <c r="O63" s="192"/>
      <c r="P63" s="193"/>
    </row>
    <row r="64" spans="1:31" x14ac:dyDescent="0.25">
      <c r="A64" s="85" t="s">
        <v>656</v>
      </c>
      <c r="B64" s="29">
        <f t="shared" si="8"/>
        <v>0</v>
      </c>
      <c r="C64" s="29">
        <f t="shared" si="8"/>
        <v>0</v>
      </c>
      <c r="D64" s="29">
        <f t="shared" si="8"/>
        <v>0</v>
      </c>
      <c r="E64" s="35">
        <f t="shared" si="9"/>
        <v>0</v>
      </c>
      <c r="F64" s="29">
        <f t="shared" si="9"/>
        <v>0</v>
      </c>
      <c r="G64" s="29">
        <f t="shared" si="9"/>
        <v>0</v>
      </c>
      <c r="H64" s="147" t="str">
        <f t="shared" si="10"/>
        <v/>
      </c>
      <c r="I64" s="141" t="str">
        <f t="shared" si="10"/>
        <v/>
      </c>
      <c r="J64" s="141" t="str">
        <f t="shared" si="10"/>
        <v/>
      </c>
      <c r="K64" s="29"/>
      <c r="L64" s="29"/>
      <c r="M64" s="29"/>
      <c r="N64" s="191"/>
      <c r="O64" s="192"/>
      <c r="P64" s="193"/>
    </row>
    <row r="65" spans="1:31" x14ac:dyDescent="0.25">
      <c r="A65" s="86" t="s">
        <v>5</v>
      </c>
      <c r="B65" s="30">
        <f t="shared" si="8"/>
        <v>0</v>
      </c>
      <c r="C65" s="30">
        <f t="shared" si="8"/>
        <v>0</v>
      </c>
      <c r="D65" s="30">
        <f t="shared" si="8"/>
        <v>0</v>
      </c>
      <c r="E65" s="36">
        <f t="shared" si="9"/>
        <v>0</v>
      </c>
      <c r="F65" s="30">
        <f t="shared" si="9"/>
        <v>0</v>
      </c>
      <c r="G65" s="30">
        <f t="shared" si="9"/>
        <v>0</v>
      </c>
      <c r="H65" s="146" t="str">
        <f t="shared" si="10"/>
        <v/>
      </c>
      <c r="I65" s="142" t="str">
        <f t="shared" si="10"/>
        <v/>
      </c>
      <c r="J65" s="142" t="str">
        <f t="shared" si="10"/>
        <v/>
      </c>
      <c r="K65" s="29"/>
      <c r="L65" s="29"/>
      <c r="M65" s="29"/>
      <c r="N65" s="191"/>
      <c r="O65" s="192"/>
      <c r="P65" s="193"/>
    </row>
    <row r="66" spans="1:31" ht="15.75" thickBot="1" x14ac:dyDescent="0.3">
      <c r="A66" s="87" t="s">
        <v>657</v>
      </c>
      <c r="B66" s="29">
        <f t="shared" si="8"/>
        <v>0</v>
      </c>
      <c r="C66" s="29">
        <f t="shared" si="8"/>
        <v>0</v>
      </c>
      <c r="D66" s="29">
        <f t="shared" si="8"/>
        <v>0</v>
      </c>
      <c r="E66" s="35">
        <f t="shared" si="9"/>
        <v>0</v>
      </c>
      <c r="F66" s="29">
        <f t="shared" si="9"/>
        <v>0</v>
      </c>
      <c r="G66" s="29">
        <f t="shared" si="9"/>
        <v>0</v>
      </c>
      <c r="H66" s="147" t="str">
        <f t="shared" si="10"/>
        <v/>
      </c>
      <c r="I66" s="141" t="str">
        <f t="shared" si="10"/>
        <v/>
      </c>
      <c r="J66" s="141" t="str">
        <f t="shared" si="10"/>
        <v/>
      </c>
      <c r="K66" s="29"/>
      <c r="L66" s="29"/>
      <c r="M66" s="29"/>
      <c r="N66" s="194"/>
      <c r="O66" s="195"/>
      <c r="P66" s="196"/>
    </row>
    <row r="67" spans="1:31" x14ac:dyDescent="0.25">
      <c r="A67" s="89" t="s">
        <v>615</v>
      </c>
      <c r="B67" s="43">
        <f>SUM(B58:B66)</f>
        <v>3</v>
      </c>
      <c r="C67" s="43">
        <f t="shared" ref="C67:D67" si="11">SUM(C58:C66)</f>
        <v>0</v>
      </c>
      <c r="D67" s="43">
        <f t="shared" si="11"/>
        <v>0</v>
      </c>
      <c r="E67" s="39">
        <f>SUM(E58:E66)</f>
        <v>0</v>
      </c>
      <c r="F67" s="43">
        <f>SUM(F58:F66)</f>
        <v>0</v>
      </c>
      <c r="G67" s="43">
        <f>SUM(G58:G66)</f>
        <v>0</v>
      </c>
      <c r="H67" s="152" t="str">
        <f>IF(E67=0,"",(SUMIFS(OpenedNInitial,OpenedComplaintSource,H$57,OpenedComplaintReceived,"&gt;="&amp;$B$9,OpenedComplaintReceived,"&lt;="&amp;$B$10)/E67))</f>
        <v/>
      </c>
      <c r="I67" s="143" t="str">
        <f>IF(F67=0,"",(SUMIFS(OpenedNInitial,OpenedComplaintSource,I$57,OpenedComplaintReceived,"&gt;="&amp;$B$9,OpenedComplaintReceived,"&lt;="&amp;$B$10)/F67))</f>
        <v/>
      </c>
      <c r="J67" s="143" t="str">
        <f>IF(G67=0,"",(SUMIFS(OpenedNInitial,OpenedComplaintSource,J$57,OpenedComplaintReceived,"&gt;="&amp;$B$9,OpenedComplaintReceived,"&lt;="&amp;$B$10)/G67))</f>
        <v/>
      </c>
      <c r="K67" s="98"/>
      <c r="L67" s="98"/>
      <c r="M67" s="98"/>
      <c r="N67" s="98"/>
      <c r="O67" s="98"/>
    </row>
    <row r="69" spans="1:31" x14ac:dyDescent="0.25">
      <c r="L69" s="99"/>
    </row>
    <row r="70" spans="1:31" ht="21" x14ac:dyDescent="0.25">
      <c r="A70" s="183" t="s">
        <v>714</v>
      </c>
      <c r="B70" s="183"/>
      <c r="C70" s="183"/>
      <c r="D70" s="183"/>
      <c r="E70" s="183"/>
      <c r="F70" s="183"/>
      <c r="G70" s="183"/>
      <c r="H70" s="183"/>
      <c r="I70" s="183"/>
      <c r="J70" s="183"/>
      <c r="K70" s="183"/>
      <c r="L70" s="183"/>
      <c r="M70" s="183"/>
      <c r="N70" s="183"/>
      <c r="O70" s="183"/>
      <c r="P70" s="183"/>
      <c r="Q70" s="183"/>
    </row>
    <row r="71" spans="1:31" x14ac:dyDescent="0.25">
      <c r="B71" s="185" t="s">
        <v>634</v>
      </c>
      <c r="C71" s="175"/>
      <c r="D71" s="176"/>
      <c r="E71" s="185" t="s">
        <v>25</v>
      </c>
      <c r="F71" s="175"/>
      <c r="G71" s="176"/>
      <c r="H71" s="185" t="s">
        <v>614</v>
      </c>
      <c r="I71" s="175"/>
      <c r="J71" s="175"/>
      <c r="K71" s="176"/>
      <c r="L71" s="185" t="s">
        <v>605</v>
      </c>
      <c r="M71" s="175"/>
      <c r="N71" s="175"/>
      <c r="O71" s="175"/>
    </row>
    <row r="72" spans="1:31" ht="45" x14ac:dyDescent="0.25">
      <c r="A72" s="129" t="s">
        <v>712</v>
      </c>
      <c r="B72" s="48" t="s">
        <v>642</v>
      </c>
      <c r="C72" s="51" t="s">
        <v>730</v>
      </c>
      <c r="D72" s="51" t="s">
        <v>633</v>
      </c>
      <c r="E72" s="52" t="s">
        <v>28</v>
      </c>
      <c r="F72" s="51" t="s">
        <v>27</v>
      </c>
      <c r="G72" s="51" t="s">
        <v>26</v>
      </c>
      <c r="H72" s="52" t="s">
        <v>12</v>
      </c>
      <c r="I72" s="51" t="s">
        <v>13</v>
      </c>
      <c r="J72" s="51" t="s">
        <v>14</v>
      </c>
      <c r="K72" s="54" t="s">
        <v>15</v>
      </c>
      <c r="L72" s="52" t="s">
        <v>16</v>
      </c>
      <c r="M72" s="51" t="s">
        <v>17</v>
      </c>
      <c r="N72" s="51" t="s">
        <v>18</v>
      </c>
      <c r="O72" s="51" t="s">
        <v>31</v>
      </c>
      <c r="AE72" s="5"/>
    </row>
    <row r="73" spans="1:31" x14ac:dyDescent="0.25">
      <c r="A73" s="1" t="s">
        <v>658</v>
      </c>
      <c r="B73" s="41">
        <f t="shared" ref="B73:B81" si="12">COUNTIFS(PendingMSO, $A73,PendingStatus, "Closed",PendingCloseDate,"&gt;="&amp;$B$9,PendingCloseDate,"&lt;="&amp;$B$10) + COUNTIFS(OpenedMSO,$A73,OpenedStatus, "Closed", OpenedCloseDate,"&gt;="&amp;$B$9,OpenedCloseDate,"&lt;="&amp;$B$10)</f>
        <v>0</v>
      </c>
      <c r="C73" s="141" t="str">
        <f t="shared" ref="C73:C81" si="13">IF(B73=0, "", (SUMIFS(PendingLengthOfCase, PendingMSO, $A73, PendingStatus, "Closed", PendingCloseDate,"&gt;="&amp;$B$9, PendingCloseDate,"&lt;="&amp;$B$10) + SUMIFS(OpenedLengthOfCase,OpenedMSO, $A73,OpenedStatus, "Closed",OpenedCloseDate,"&gt;="&amp;$B$9,OpenedCloseDate,"&lt;="&amp;$B$10)) / (COUNTIFS(PendingMSO, $A73, PendingStatus, "Closed", PendingCloseDate,"&gt;="&amp;$B$9, PendingCloseDate,"&lt;="&amp;$B$10) + COUNTIFS(OpenedMSO, $A73,OpenedStatus, "Closed",OpenedCloseDate,"&gt;="&amp;$B$9,OpenedCloseDate,"&lt;="&amp;$B$10)))</f>
        <v/>
      </c>
      <c r="D73" s="29">
        <f t="shared" ref="D73:D81" si="14">COUNTIFS(PendingMSO,$A73,PendingCloseDate,"&gt;="&amp;$B$9,PendingCloseDate,"&lt;="&amp;$B$10, PendingAppealPending, "Yes") + COUNTIFS(OpenedMSO,$A73,OpenedCloseDate,"&gt;="&amp;$B$9,OpenedCloseDate,"&lt;="&amp;$B$10, OpenedAppealPending, "Yes")</f>
        <v>0</v>
      </c>
      <c r="E73" s="35">
        <f t="shared" ref="E73:G81" si="15">COUNTIFS(OpenedMSO, $A73, OpenedComplaintSource, E$72, OpenedCloseDate, "&gt;="&amp;$B$9, OpenedCloseDate, "&lt;="&amp;$B$10, OpenedStatus,"Closed")+COUNTIFS(PendingMSO, $A73, PendingComplaintSource,E$72, PendingCloseDate, "&gt;="&amp;$B$9, PendingCloseDate, "&lt;="&amp;$B$10, PendingStatus, "Closed")</f>
        <v>0</v>
      </c>
      <c r="F73" s="29">
        <f t="shared" si="15"/>
        <v>0</v>
      </c>
      <c r="G73" s="29">
        <f t="shared" si="15"/>
        <v>0</v>
      </c>
      <c r="H73" s="41">
        <f t="shared" ref="H73:K81" si="16">COUNTIFS(OpenedMSO, $A73, OpenedCriminalDisposition, H$72, OpenedCloseDate, "&gt;="&amp;$B$9, OpenedCloseDate, "&lt;="&amp;$B$10, OpenedStatus, "Closed")+COUNTIFS(PendingMSO, $A73, PendingCriminalDisposition, H$72, PendingCloseDate, "&gt;="&amp;$B$9, PendingCloseDate, "&lt;="&amp;$B$10, PendingStatus, "Closed")</f>
        <v>0</v>
      </c>
      <c r="I73" s="42">
        <f t="shared" si="16"/>
        <v>0</v>
      </c>
      <c r="J73" s="42">
        <f t="shared" si="16"/>
        <v>0</v>
      </c>
      <c r="K73" s="29">
        <f t="shared" si="16"/>
        <v>0</v>
      </c>
      <c r="L73" s="35">
        <f t="shared" ref="L73:O81" si="17">COUNTIFS(OpenedMSO, $A73, OpenedInternalDisposition, L$72, OpenedCloseDate, "&gt;="&amp;$B$9, OpenedCloseDate, "&lt;="&amp;$B$10, OpenedStatus, "Closed")+COUNTIFS(PendingMSO, $A73, PendingInternalDisposition, L$72, PendingCloseDate, "&gt;="&amp;$B$9, PendingCloseDate, "&lt;="&amp;$B$10, PendingStatus, "Closed")</f>
        <v>0</v>
      </c>
      <c r="M73" s="29">
        <f t="shared" si="17"/>
        <v>0</v>
      </c>
      <c r="N73" s="29">
        <f t="shared" si="17"/>
        <v>0</v>
      </c>
      <c r="O73" s="29">
        <f t="shared" si="17"/>
        <v>0</v>
      </c>
    </row>
    <row r="74" spans="1:31" x14ac:dyDescent="0.25">
      <c r="A74" s="2" t="s">
        <v>651</v>
      </c>
      <c r="B74" s="36">
        <f t="shared" si="12"/>
        <v>0</v>
      </c>
      <c r="C74" s="142" t="str">
        <f t="shared" si="13"/>
        <v/>
      </c>
      <c r="D74" s="30">
        <f t="shared" si="14"/>
        <v>0</v>
      </c>
      <c r="E74" s="36">
        <f t="shared" si="15"/>
        <v>0</v>
      </c>
      <c r="F74" s="30">
        <f t="shared" si="15"/>
        <v>0</v>
      </c>
      <c r="G74" s="30">
        <f t="shared" si="15"/>
        <v>0</v>
      </c>
      <c r="H74" s="36">
        <f t="shared" si="16"/>
        <v>0</v>
      </c>
      <c r="I74" s="30">
        <f t="shared" si="16"/>
        <v>0</v>
      </c>
      <c r="J74" s="30">
        <f t="shared" si="16"/>
        <v>0</v>
      </c>
      <c r="K74" s="31">
        <f t="shared" si="16"/>
        <v>0</v>
      </c>
      <c r="L74" s="36">
        <f t="shared" si="17"/>
        <v>0</v>
      </c>
      <c r="M74" s="30">
        <f t="shared" si="17"/>
        <v>0</v>
      </c>
      <c r="N74" s="30">
        <f t="shared" si="17"/>
        <v>0</v>
      </c>
      <c r="O74" s="30">
        <f t="shared" si="17"/>
        <v>0</v>
      </c>
    </row>
    <row r="75" spans="1:31" x14ac:dyDescent="0.25">
      <c r="A75" s="1" t="s">
        <v>652</v>
      </c>
      <c r="B75" s="35">
        <f t="shared" si="12"/>
        <v>0</v>
      </c>
      <c r="C75" s="141" t="str">
        <f t="shared" si="13"/>
        <v/>
      </c>
      <c r="D75" s="29">
        <f t="shared" si="14"/>
        <v>0</v>
      </c>
      <c r="E75" s="35">
        <f t="shared" si="15"/>
        <v>0</v>
      </c>
      <c r="F75" s="29">
        <f t="shared" si="15"/>
        <v>0</v>
      </c>
      <c r="G75" s="29">
        <f t="shared" si="15"/>
        <v>0</v>
      </c>
      <c r="H75" s="35">
        <f t="shared" si="16"/>
        <v>0</v>
      </c>
      <c r="I75" s="29">
        <f t="shared" si="16"/>
        <v>0</v>
      </c>
      <c r="J75" s="29">
        <f t="shared" si="16"/>
        <v>0</v>
      </c>
      <c r="K75" s="50">
        <f t="shared" si="16"/>
        <v>0</v>
      </c>
      <c r="L75" s="35">
        <f t="shared" si="17"/>
        <v>0</v>
      </c>
      <c r="M75" s="29">
        <f t="shared" si="17"/>
        <v>0</v>
      </c>
      <c r="N75" s="29">
        <f t="shared" si="17"/>
        <v>0</v>
      </c>
      <c r="O75" s="29">
        <f t="shared" si="17"/>
        <v>0</v>
      </c>
    </row>
    <row r="76" spans="1:31" x14ac:dyDescent="0.25">
      <c r="A76" s="2" t="s">
        <v>653</v>
      </c>
      <c r="B76" s="36">
        <f t="shared" si="12"/>
        <v>0</v>
      </c>
      <c r="C76" s="142" t="str">
        <f t="shared" si="13"/>
        <v/>
      </c>
      <c r="D76" s="30">
        <f t="shared" si="14"/>
        <v>0</v>
      </c>
      <c r="E76" s="36">
        <f t="shared" si="15"/>
        <v>0</v>
      </c>
      <c r="F76" s="30">
        <f t="shared" si="15"/>
        <v>0</v>
      </c>
      <c r="G76" s="30">
        <f t="shared" si="15"/>
        <v>0</v>
      </c>
      <c r="H76" s="36">
        <f t="shared" si="16"/>
        <v>0</v>
      </c>
      <c r="I76" s="30">
        <f t="shared" si="16"/>
        <v>0</v>
      </c>
      <c r="J76" s="30">
        <f t="shared" si="16"/>
        <v>0</v>
      </c>
      <c r="K76" s="31">
        <f t="shared" si="16"/>
        <v>0</v>
      </c>
      <c r="L76" s="36">
        <f t="shared" si="17"/>
        <v>0</v>
      </c>
      <c r="M76" s="30">
        <f t="shared" si="17"/>
        <v>0</v>
      </c>
      <c r="N76" s="30">
        <f t="shared" si="17"/>
        <v>0</v>
      </c>
      <c r="O76" s="30">
        <f t="shared" si="17"/>
        <v>0</v>
      </c>
    </row>
    <row r="77" spans="1:31" x14ac:dyDescent="0.25">
      <c r="A77" s="1" t="s">
        <v>654</v>
      </c>
      <c r="B77" s="35">
        <f t="shared" si="12"/>
        <v>0</v>
      </c>
      <c r="C77" s="141" t="str">
        <f t="shared" si="13"/>
        <v/>
      </c>
      <c r="D77" s="29">
        <f t="shared" si="14"/>
        <v>0</v>
      </c>
      <c r="E77" s="35">
        <f t="shared" si="15"/>
        <v>0</v>
      </c>
      <c r="F77" s="29">
        <f t="shared" si="15"/>
        <v>0</v>
      </c>
      <c r="G77" s="29">
        <f t="shared" si="15"/>
        <v>0</v>
      </c>
      <c r="H77" s="35">
        <f t="shared" si="16"/>
        <v>0</v>
      </c>
      <c r="I77" s="29">
        <f t="shared" si="16"/>
        <v>0</v>
      </c>
      <c r="J77" s="29">
        <f t="shared" si="16"/>
        <v>0</v>
      </c>
      <c r="K77" s="50">
        <f t="shared" si="16"/>
        <v>0</v>
      </c>
      <c r="L77" s="35">
        <f t="shared" si="17"/>
        <v>0</v>
      </c>
      <c r="M77" s="29">
        <f t="shared" si="17"/>
        <v>0</v>
      </c>
      <c r="N77" s="29">
        <f t="shared" si="17"/>
        <v>0</v>
      </c>
      <c r="O77" s="29">
        <f t="shared" si="17"/>
        <v>0</v>
      </c>
    </row>
    <row r="78" spans="1:31" x14ac:dyDescent="0.25">
      <c r="A78" s="2" t="s">
        <v>655</v>
      </c>
      <c r="B78" s="36">
        <f t="shared" si="12"/>
        <v>0</v>
      </c>
      <c r="C78" s="142" t="str">
        <f t="shared" si="13"/>
        <v/>
      </c>
      <c r="D78" s="30">
        <f t="shared" si="14"/>
        <v>0</v>
      </c>
      <c r="E78" s="36">
        <f t="shared" si="15"/>
        <v>0</v>
      </c>
      <c r="F78" s="30">
        <f t="shared" si="15"/>
        <v>0</v>
      </c>
      <c r="G78" s="30">
        <f t="shared" si="15"/>
        <v>0</v>
      </c>
      <c r="H78" s="36">
        <f t="shared" si="16"/>
        <v>0</v>
      </c>
      <c r="I78" s="30">
        <f t="shared" si="16"/>
        <v>0</v>
      </c>
      <c r="J78" s="30">
        <f t="shared" si="16"/>
        <v>0</v>
      </c>
      <c r="K78" s="31">
        <f t="shared" si="16"/>
        <v>0</v>
      </c>
      <c r="L78" s="36">
        <f t="shared" si="17"/>
        <v>0</v>
      </c>
      <c r="M78" s="30">
        <f t="shared" si="17"/>
        <v>0</v>
      </c>
      <c r="N78" s="30">
        <f t="shared" si="17"/>
        <v>0</v>
      </c>
      <c r="O78" s="30">
        <f t="shared" si="17"/>
        <v>0</v>
      </c>
    </row>
    <row r="79" spans="1:31" x14ac:dyDescent="0.25">
      <c r="A79" s="1" t="s">
        <v>656</v>
      </c>
      <c r="B79" s="35">
        <f t="shared" si="12"/>
        <v>0</v>
      </c>
      <c r="C79" s="141" t="str">
        <f t="shared" si="13"/>
        <v/>
      </c>
      <c r="D79" s="29">
        <f t="shared" si="14"/>
        <v>0</v>
      </c>
      <c r="E79" s="35">
        <f t="shared" si="15"/>
        <v>0</v>
      </c>
      <c r="F79" s="29">
        <f t="shared" si="15"/>
        <v>0</v>
      </c>
      <c r="G79" s="29">
        <f t="shared" si="15"/>
        <v>0</v>
      </c>
      <c r="H79" s="35">
        <f t="shared" si="16"/>
        <v>0</v>
      </c>
      <c r="I79" s="29">
        <f t="shared" si="16"/>
        <v>0</v>
      </c>
      <c r="J79" s="29">
        <f t="shared" si="16"/>
        <v>0</v>
      </c>
      <c r="K79" s="50">
        <f t="shared" si="16"/>
        <v>0</v>
      </c>
      <c r="L79" s="35">
        <f t="shared" si="17"/>
        <v>0</v>
      </c>
      <c r="M79" s="29">
        <f t="shared" si="17"/>
        <v>0</v>
      </c>
      <c r="N79" s="29">
        <f t="shared" si="17"/>
        <v>0</v>
      </c>
      <c r="O79" s="29">
        <f t="shared" si="17"/>
        <v>0</v>
      </c>
    </row>
    <row r="80" spans="1:31" x14ac:dyDescent="0.25">
      <c r="A80" s="2" t="s">
        <v>5</v>
      </c>
      <c r="B80" s="36">
        <f t="shared" si="12"/>
        <v>0</v>
      </c>
      <c r="C80" s="142" t="str">
        <f t="shared" si="13"/>
        <v/>
      </c>
      <c r="D80" s="30">
        <f t="shared" si="14"/>
        <v>0</v>
      </c>
      <c r="E80" s="36">
        <f t="shared" si="15"/>
        <v>0</v>
      </c>
      <c r="F80" s="30">
        <f t="shared" si="15"/>
        <v>0</v>
      </c>
      <c r="G80" s="30">
        <f t="shared" si="15"/>
        <v>0</v>
      </c>
      <c r="H80" s="36">
        <f t="shared" si="16"/>
        <v>0</v>
      </c>
      <c r="I80" s="30">
        <f t="shared" si="16"/>
        <v>0</v>
      </c>
      <c r="J80" s="30">
        <f t="shared" si="16"/>
        <v>0</v>
      </c>
      <c r="K80" s="31">
        <f t="shared" si="16"/>
        <v>0</v>
      </c>
      <c r="L80" s="36">
        <f t="shared" si="17"/>
        <v>0</v>
      </c>
      <c r="M80" s="30">
        <f t="shared" si="17"/>
        <v>0</v>
      </c>
      <c r="N80" s="30">
        <f t="shared" si="17"/>
        <v>0</v>
      </c>
      <c r="O80" s="30">
        <f t="shared" si="17"/>
        <v>0</v>
      </c>
    </row>
    <row r="81" spans="1:20" x14ac:dyDescent="0.25">
      <c r="A81" s="1" t="s">
        <v>657</v>
      </c>
      <c r="B81" s="35">
        <f t="shared" si="12"/>
        <v>0</v>
      </c>
      <c r="C81" s="141" t="str">
        <f t="shared" si="13"/>
        <v/>
      </c>
      <c r="D81" s="29">
        <f t="shared" si="14"/>
        <v>0</v>
      </c>
      <c r="E81" s="35">
        <f t="shared" si="15"/>
        <v>0</v>
      </c>
      <c r="F81" s="29">
        <f t="shared" si="15"/>
        <v>0</v>
      </c>
      <c r="G81" s="29">
        <f t="shared" si="15"/>
        <v>0</v>
      </c>
      <c r="H81" s="35">
        <f t="shared" si="16"/>
        <v>0</v>
      </c>
      <c r="I81" s="29">
        <f t="shared" si="16"/>
        <v>0</v>
      </c>
      <c r="J81" s="29">
        <f t="shared" si="16"/>
        <v>0</v>
      </c>
      <c r="K81" s="50">
        <f t="shared" si="16"/>
        <v>0</v>
      </c>
      <c r="L81" s="35">
        <f t="shared" si="17"/>
        <v>0</v>
      </c>
      <c r="M81" s="29">
        <f t="shared" si="17"/>
        <v>0</v>
      </c>
      <c r="N81" s="29">
        <f t="shared" si="17"/>
        <v>0</v>
      </c>
      <c r="O81" s="29">
        <f t="shared" si="17"/>
        <v>0</v>
      </c>
    </row>
    <row r="82" spans="1:20" x14ac:dyDescent="0.25">
      <c r="A82" s="28" t="s">
        <v>615</v>
      </c>
      <c r="B82" s="39">
        <f>SUM(B73:B81)</f>
        <v>0</v>
      </c>
      <c r="C82" s="143" t="str">
        <f>IF(B82=0, "", SUMPRODUCT(B73:B81, C73:C81) / B82)</f>
        <v/>
      </c>
      <c r="D82" s="43">
        <f t="shared" ref="D82" si="18">SUM(D73:D81)</f>
        <v>0</v>
      </c>
      <c r="E82" s="39">
        <f t="shared" ref="E82:O82" si="19">SUM(E73:E81)</f>
        <v>0</v>
      </c>
      <c r="F82" s="43">
        <f t="shared" si="19"/>
        <v>0</v>
      </c>
      <c r="G82" s="43">
        <f t="shared" si="19"/>
        <v>0</v>
      </c>
      <c r="H82" s="39">
        <f t="shared" si="19"/>
        <v>0</v>
      </c>
      <c r="I82" s="43">
        <f t="shared" si="19"/>
        <v>0</v>
      </c>
      <c r="J82" s="43">
        <f t="shared" si="19"/>
        <v>0</v>
      </c>
      <c r="K82" s="43">
        <f t="shared" si="19"/>
        <v>0</v>
      </c>
      <c r="L82" s="39">
        <f t="shared" si="19"/>
        <v>0</v>
      </c>
      <c r="M82" s="43">
        <f t="shared" si="19"/>
        <v>0</v>
      </c>
      <c r="N82" s="43">
        <f t="shared" si="19"/>
        <v>0</v>
      </c>
      <c r="O82" s="43">
        <f t="shared" si="19"/>
        <v>0</v>
      </c>
    </row>
    <row r="85" spans="1:20" ht="14.65" customHeight="1" x14ac:dyDescent="0.35">
      <c r="B85" s="40"/>
      <c r="C85" s="40"/>
      <c r="D85" s="40"/>
      <c r="E85" s="40"/>
      <c r="F85" s="40"/>
      <c r="G85" s="40"/>
      <c r="H85" s="40"/>
      <c r="I85" s="40"/>
      <c r="J85" s="40"/>
      <c r="K85" s="40"/>
      <c r="L85" s="40"/>
      <c r="M85" s="40"/>
      <c r="N85" s="40"/>
      <c r="R85" s="84"/>
      <c r="S85" s="84"/>
      <c r="T85" s="84"/>
    </row>
    <row r="86" spans="1:20" ht="14.65" customHeight="1" x14ac:dyDescent="0.35">
      <c r="A86" s="207" t="str">
        <f>$B$8&amp;": Cases Closed, All Allegations"</f>
        <v>Q4: Cases Closed, All Allegations</v>
      </c>
      <c r="B86" s="207"/>
      <c r="C86" s="207"/>
      <c r="D86" s="207"/>
      <c r="E86" s="207"/>
      <c r="F86" s="207"/>
      <c r="G86" s="207"/>
      <c r="H86" s="207"/>
      <c r="I86" s="207"/>
      <c r="J86" s="207"/>
      <c r="K86" s="207"/>
      <c r="L86" s="207"/>
      <c r="M86" s="207"/>
      <c r="N86" s="207"/>
      <c r="O86" s="207"/>
      <c r="P86" s="207"/>
      <c r="Q86" s="207"/>
      <c r="R86" s="84"/>
      <c r="S86" s="84"/>
      <c r="T86" s="84"/>
    </row>
    <row r="87" spans="1:20" ht="14.65" customHeight="1" x14ac:dyDescent="0.35">
      <c r="A87" s="207"/>
      <c r="B87" s="207"/>
      <c r="C87" s="207"/>
      <c r="D87" s="207"/>
      <c r="E87" s="207"/>
      <c r="F87" s="207"/>
      <c r="G87" s="207"/>
      <c r="H87" s="207"/>
      <c r="I87" s="207"/>
      <c r="J87" s="207"/>
      <c r="K87" s="207"/>
      <c r="L87" s="207"/>
      <c r="M87" s="207"/>
      <c r="N87" s="207"/>
      <c r="O87" s="207"/>
      <c r="P87" s="207"/>
      <c r="Q87" s="207"/>
      <c r="R87" s="84"/>
      <c r="S87" s="84"/>
      <c r="T87" s="84"/>
    </row>
    <row r="88" spans="1:20" ht="14.25" customHeight="1" x14ac:dyDescent="0.25">
      <c r="A88" s="183" t="s">
        <v>616</v>
      </c>
      <c r="B88" s="183"/>
      <c r="C88" s="183"/>
      <c r="D88" s="183"/>
      <c r="E88" s="183"/>
      <c r="F88" s="183"/>
      <c r="G88" s="183"/>
      <c r="H88" s="183"/>
      <c r="I88" s="183"/>
      <c r="J88" s="183"/>
      <c r="K88" s="183"/>
      <c r="L88" s="183"/>
      <c r="M88" s="183"/>
      <c r="N88" s="172" t="s">
        <v>33</v>
      </c>
      <c r="O88" s="172"/>
      <c r="P88" s="184" t="str">
        <f>'Start Here'!C$13</f>
        <v>Wharton Police Department</v>
      </c>
      <c r="Q88" s="184"/>
    </row>
    <row r="89" spans="1:20" ht="14.65" customHeight="1" x14ac:dyDescent="0.25">
      <c r="A89" s="183"/>
      <c r="B89" s="183"/>
      <c r="C89" s="183"/>
      <c r="D89" s="183"/>
      <c r="E89" s="183"/>
      <c r="F89" s="183"/>
      <c r="G89" s="183"/>
      <c r="H89" s="183"/>
      <c r="I89" s="183"/>
      <c r="J89" s="183"/>
      <c r="K89" s="183"/>
      <c r="L89" s="183"/>
      <c r="M89" s="183"/>
      <c r="N89" s="172" t="s">
        <v>34</v>
      </c>
      <c r="O89" s="172"/>
      <c r="P89" s="12">
        <f>'Start Here'!$C$16</f>
        <v>2023</v>
      </c>
    </row>
    <row r="90" spans="1:20" ht="15" customHeight="1" x14ac:dyDescent="0.25">
      <c r="A90" s="192" t="s">
        <v>712</v>
      </c>
      <c r="B90" s="192" t="s">
        <v>617</v>
      </c>
      <c r="C90" s="221"/>
      <c r="D90" s="185" t="s">
        <v>734</v>
      </c>
      <c r="E90" s="175"/>
      <c r="F90" s="175"/>
      <c r="G90" s="175"/>
      <c r="H90" s="175"/>
      <c r="I90" s="175"/>
      <c r="J90" s="175"/>
      <c r="K90" s="175"/>
      <c r="L90" s="176"/>
      <c r="M90" s="192" t="s">
        <v>618</v>
      </c>
    </row>
    <row r="91" spans="1:20" ht="51.75" customHeight="1" x14ac:dyDescent="0.25">
      <c r="A91" s="220"/>
      <c r="B91" s="220"/>
      <c r="C91" s="222"/>
      <c r="D91" s="51" t="s">
        <v>11</v>
      </c>
      <c r="E91" s="51" t="s">
        <v>10</v>
      </c>
      <c r="F91" s="51" t="s">
        <v>9</v>
      </c>
      <c r="G91" s="51" t="s">
        <v>8</v>
      </c>
      <c r="H91" s="51" t="s">
        <v>718</v>
      </c>
      <c r="I91" s="51" t="s">
        <v>6</v>
      </c>
      <c r="J91" s="51" t="s">
        <v>5</v>
      </c>
      <c r="K91" s="51" t="s">
        <v>4</v>
      </c>
      <c r="L91" s="54" t="s">
        <v>711</v>
      </c>
      <c r="M91" s="220"/>
      <c r="R91" s="7"/>
    </row>
    <row r="92" spans="1:20" ht="15" customHeight="1" x14ac:dyDescent="0.25">
      <c r="A92" s="59" t="s">
        <v>658</v>
      </c>
      <c r="B92" s="218">
        <f t="shared" ref="B92:B100" si="20">COUNTIFS(PendingMSO, $A92, PendingCloseDate, "&gt;="&amp;$B$9, PendingCloseDate, "&lt;="&amp;$B$10, PendingStatus, "Closed")+COUNTIFS(OpenedMSO, $A92, OpenedCloseDate, "&gt;="&amp;$B$9, OpenedCloseDate,"&lt;="&amp;$B$10, OpenedStatus, "Closed")</f>
        <v>0</v>
      </c>
      <c r="C92" s="219"/>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0">
        <f t="shared" si="21"/>
        <v>0</v>
      </c>
      <c r="M92" s="98">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15">
        <f t="shared" si="20"/>
        <v>0</v>
      </c>
      <c r="C93" s="216"/>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133">
        <f t="shared" si="22"/>
        <v>0</v>
      </c>
      <c r="R93" s="1"/>
    </row>
    <row r="94" spans="1:20" ht="15" customHeight="1" x14ac:dyDescent="0.25">
      <c r="A94" s="33" t="s">
        <v>652</v>
      </c>
      <c r="B94" s="203">
        <f t="shared" si="20"/>
        <v>0</v>
      </c>
      <c r="C94" s="204"/>
      <c r="D94" s="29">
        <f t="shared" si="21"/>
        <v>0</v>
      </c>
      <c r="E94" s="29">
        <f t="shared" si="21"/>
        <v>0</v>
      </c>
      <c r="F94" s="29">
        <f t="shared" si="21"/>
        <v>0</v>
      </c>
      <c r="G94" s="29">
        <f t="shared" si="21"/>
        <v>0</v>
      </c>
      <c r="H94" s="29">
        <f t="shared" si="21"/>
        <v>0</v>
      </c>
      <c r="I94" s="29">
        <f t="shared" si="21"/>
        <v>0</v>
      </c>
      <c r="J94" s="29">
        <f t="shared" si="21"/>
        <v>0</v>
      </c>
      <c r="K94" s="29">
        <f t="shared" si="21"/>
        <v>0</v>
      </c>
      <c r="L94" s="50">
        <f t="shared" si="21"/>
        <v>0</v>
      </c>
      <c r="M94" s="98">
        <f t="shared" si="22"/>
        <v>0</v>
      </c>
      <c r="R94" s="34"/>
    </row>
    <row r="95" spans="1:20" ht="15" customHeight="1" x14ac:dyDescent="0.25">
      <c r="A95" s="32" t="s">
        <v>653</v>
      </c>
      <c r="B95" s="215">
        <f t="shared" si="20"/>
        <v>0</v>
      </c>
      <c r="C95" s="216"/>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133">
        <f t="shared" si="22"/>
        <v>0</v>
      </c>
      <c r="R95" s="1"/>
    </row>
    <row r="96" spans="1:20" x14ac:dyDescent="0.25">
      <c r="A96" s="33" t="s">
        <v>654</v>
      </c>
      <c r="B96" s="203">
        <f t="shared" si="20"/>
        <v>0</v>
      </c>
      <c r="C96" s="204"/>
      <c r="D96" s="29">
        <f t="shared" si="21"/>
        <v>0</v>
      </c>
      <c r="E96" s="29">
        <f t="shared" si="21"/>
        <v>0</v>
      </c>
      <c r="F96" s="29">
        <f t="shared" si="21"/>
        <v>0</v>
      </c>
      <c r="G96" s="29">
        <f t="shared" si="21"/>
        <v>0</v>
      </c>
      <c r="H96" s="29">
        <f t="shared" si="21"/>
        <v>0</v>
      </c>
      <c r="I96" s="29">
        <f t="shared" si="21"/>
        <v>0</v>
      </c>
      <c r="J96" s="29">
        <f t="shared" si="21"/>
        <v>0</v>
      </c>
      <c r="K96" s="29">
        <f t="shared" si="21"/>
        <v>0</v>
      </c>
      <c r="L96" s="50">
        <f t="shared" si="21"/>
        <v>0</v>
      </c>
      <c r="M96" s="98">
        <f t="shared" si="22"/>
        <v>0</v>
      </c>
    </row>
    <row r="97" spans="1:19" x14ac:dyDescent="0.25">
      <c r="A97" s="32" t="s">
        <v>655</v>
      </c>
      <c r="B97" s="215">
        <f t="shared" si="20"/>
        <v>0</v>
      </c>
      <c r="C97" s="216"/>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133">
        <f t="shared" si="22"/>
        <v>0</v>
      </c>
    </row>
    <row r="98" spans="1:19" x14ac:dyDescent="0.25">
      <c r="A98" s="33" t="s">
        <v>656</v>
      </c>
      <c r="B98" s="203">
        <f t="shared" si="20"/>
        <v>0</v>
      </c>
      <c r="C98" s="204"/>
      <c r="D98" s="29">
        <f t="shared" si="21"/>
        <v>0</v>
      </c>
      <c r="E98" s="29">
        <f t="shared" si="21"/>
        <v>0</v>
      </c>
      <c r="F98" s="29">
        <f t="shared" si="21"/>
        <v>0</v>
      </c>
      <c r="G98" s="29">
        <f t="shared" si="21"/>
        <v>0</v>
      </c>
      <c r="H98" s="29">
        <f t="shared" si="21"/>
        <v>0</v>
      </c>
      <c r="I98" s="29">
        <f t="shared" si="21"/>
        <v>0</v>
      </c>
      <c r="J98" s="29">
        <f t="shared" si="21"/>
        <v>0</v>
      </c>
      <c r="K98" s="29">
        <f t="shared" si="21"/>
        <v>0</v>
      </c>
      <c r="L98" s="50">
        <f t="shared" si="21"/>
        <v>0</v>
      </c>
      <c r="M98" s="98">
        <f t="shared" si="22"/>
        <v>0</v>
      </c>
    </row>
    <row r="99" spans="1:19" ht="14.45" customHeight="1" x14ac:dyDescent="0.25">
      <c r="A99" s="32" t="s">
        <v>5</v>
      </c>
      <c r="B99" s="215">
        <f t="shared" si="20"/>
        <v>0</v>
      </c>
      <c r="C99" s="216"/>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133">
        <f t="shared" si="22"/>
        <v>0</v>
      </c>
    </row>
    <row r="100" spans="1:19" x14ac:dyDescent="0.25">
      <c r="A100" s="38" t="s">
        <v>657</v>
      </c>
      <c r="B100" s="201">
        <f t="shared" si="20"/>
        <v>0</v>
      </c>
      <c r="C100" s="202"/>
      <c r="D100" s="127">
        <f t="shared" si="21"/>
        <v>0</v>
      </c>
      <c r="E100" s="127">
        <f t="shared" si="21"/>
        <v>0</v>
      </c>
      <c r="F100" s="127">
        <f t="shared" si="21"/>
        <v>0</v>
      </c>
      <c r="G100" s="127">
        <f t="shared" si="21"/>
        <v>0</v>
      </c>
      <c r="H100" s="127">
        <f t="shared" si="21"/>
        <v>0</v>
      </c>
      <c r="I100" s="127">
        <f t="shared" si="21"/>
        <v>0</v>
      </c>
      <c r="J100" s="127">
        <f t="shared" si="21"/>
        <v>0</v>
      </c>
      <c r="K100" s="127">
        <f t="shared" si="21"/>
        <v>0</v>
      </c>
      <c r="L100" s="37">
        <f t="shared" si="21"/>
        <v>0</v>
      </c>
      <c r="M100" s="53">
        <f t="shared" si="22"/>
        <v>0</v>
      </c>
    </row>
    <row r="101" spans="1:19" x14ac:dyDescent="0.25">
      <c r="A101" s="32" t="s">
        <v>615</v>
      </c>
      <c r="B101" s="215">
        <f>SUM(B92:C100)</f>
        <v>0</v>
      </c>
      <c r="C101" s="215"/>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0</v>
      </c>
    </row>
    <row r="102" spans="1:19" x14ac:dyDescent="0.25">
      <c r="A102" s="217" t="s">
        <v>716</v>
      </c>
      <c r="B102" s="217"/>
      <c r="C102" s="217"/>
      <c r="D102" s="217"/>
      <c r="E102" s="217"/>
      <c r="F102" s="217"/>
      <c r="G102" s="217"/>
      <c r="H102" s="217"/>
      <c r="I102" s="217"/>
      <c r="J102" s="217"/>
      <c r="K102" s="217"/>
      <c r="L102" s="217"/>
      <c r="M102" s="217"/>
      <c r="N102" s="217"/>
      <c r="O102" s="217"/>
      <c r="P102" s="217"/>
      <c r="Q102" s="217"/>
    </row>
    <row r="103" spans="1:19" x14ac:dyDescent="0.25">
      <c r="A103" s="217" t="s">
        <v>717</v>
      </c>
      <c r="B103" s="217"/>
      <c r="C103" s="217"/>
      <c r="D103" s="217"/>
      <c r="E103" s="217"/>
      <c r="F103" s="217"/>
      <c r="G103" s="217"/>
      <c r="H103" s="217"/>
      <c r="I103" s="217"/>
      <c r="J103" s="217"/>
      <c r="K103" s="217"/>
      <c r="L103" s="217"/>
      <c r="M103" s="217"/>
      <c r="N103" s="217"/>
      <c r="O103" s="217"/>
      <c r="P103" s="217"/>
      <c r="Q103" s="217"/>
    </row>
    <row r="104" spans="1:19" x14ac:dyDescent="0.25">
      <c r="A104" s="103"/>
      <c r="B104" s="103"/>
      <c r="C104" s="103"/>
      <c r="D104" s="103"/>
      <c r="E104" s="103"/>
      <c r="F104" s="103"/>
      <c r="G104" s="103"/>
      <c r="H104" s="103"/>
      <c r="I104" s="103"/>
      <c r="J104" s="103"/>
      <c r="K104" s="103"/>
      <c r="L104" s="103"/>
      <c r="M104" s="103"/>
      <c r="N104" s="103"/>
      <c r="O104" s="103"/>
      <c r="P104" s="103"/>
      <c r="Q104" s="103"/>
    </row>
    <row r="106" spans="1:19" ht="53.45" customHeight="1" x14ac:dyDescent="0.35">
      <c r="A106" s="65"/>
      <c r="B106" s="208" t="s">
        <v>645</v>
      </c>
      <c r="C106" s="208"/>
      <c r="D106" s="208"/>
      <c r="E106" s="209" t="s">
        <v>635</v>
      </c>
      <c r="F106" s="208"/>
      <c r="G106" s="208"/>
      <c r="H106" s="209" t="s">
        <v>631</v>
      </c>
      <c r="I106" s="208"/>
      <c r="J106" s="210"/>
      <c r="K106" s="197" t="s">
        <v>729</v>
      </c>
      <c r="L106" s="197"/>
    </row>
    <row r="107" spans="1:19" ht="30.75" customHeight="1" x14ac:dyDescent="0.25">
      <c r="B107" s="211" t="s">
        <v>25</v>
      </c>
      <c r="C107" s="212"/>
      <c r="D107" s="212"/>
      <c r="E107" s="211" t="s">
        <v>25</v>
      </c>
      <c r="F107" s="212"/>
      <c r="G107" s="212"/>
      <c r="H107" s="49"/>
      <c r="I107" s="132" t="s">
        <v>25</v>
      </c>
      <c r="J107" s="130"/>
      <c r="K107" s="213" t="s">
        <v>637</v>
      </c>
      <c r="L107" s="214"/>
    </row>
    <row r="108" spans="1:19" ht="39" customHeight="1" x14ac:dyDescent="0.25">
      <c r="A108" s="129" t="s">
        <v>735</v>
      </c>
      <c r="B108" s="52" t="s">
        <v>28</v>
      </c>
      <c r="C108" s="51" t="s">
        <v>27</v>
      </c>
      <c r="D108" s="51" t="s">
        <v>26</v>
      </c>
      <c r="E108" s="55" t="s">
        <v>28</v>
      </c>
      <c r="F108" s="56" t="s">
        <v>27</v>
      </c>
      <c r="G108" s="56" t="s">
        <v>26</v>
      </c>
      <c r="H108" s="52" t="s">
        <v>28</v>
      </c>
      <c r="I108" s="51" t="s">
        <v>27</v>
      </c>
      <c r="J108" s="51" t="s">
        <v>26</v>
      </c>
      <c r="K108" s="48" t="s">
        <v>24</v>
      </c>
      <c r="L108" s="129" t="s">
        <v>636</v>
      </c>
      <c r="R108" s="102"/>
      <c r="S108" s="102"/>
    </row>
    <row r="109" spans="1:19" ht="15" customHeight="1" x14ac:dyDescent="0.25">
      <c r="A109" s="60"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147" t="str">
        <f t="shared" ref="E109:G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141" t="str">
        <f t="shared" si="25"/>
        <v/>
      </c>
      <c r="G109" s="141" t="str">
        <f t="shared" si="25"/>
        <v/>
      </c>
      <c r="H109" s="35">
        <f t="shared" ref="H109:J117" si="26">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6"/>
        <v>0</v>
      </c>
      <c r="J109" s="29">
        <f t="shared" si="26"/>
        <v>0</v>
      </c>
      <c r="K109" s="148" t="str">
        <f t="shared" ref="K109:K117" si="27">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149" t="str">
        <f t="shared" ref="L109:L117" si="28">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02"/>
      <c r="R109" s="102"/>
      <c r="S109" s="102"/>
    </row>
    <row r="110" spans="1:19" ht="15" customHeight="1" x14ac:dyDescent="0.25">
      <c r="A110" s="57" t="s">
        <v>651</v>
      </c>
      <c r="B110" s="30">
        <f t="shared" si="24"/>
        <v>0</v>
      </c>
      <c r="C110" s="30">
        <f t="shared" si="24"/>
        <v>0</v>
      </c>
      <c r="D110" s="30">
        <f t="shared" si="24"/>
        <v>0</v>
      </c>
      <c r="E110" s="146" t="str">
        <f t="shared" si="25"/>
        <v/>
      </c>
      <c r="F110" s="142" t="str">
        <f t="shared" si="25"/>
        <v/>
      </c>
      <c r="G110" s="142" t="str">
        <f t="shared" si="25"/>
        <v/>
      </c>
      <c r="H110" s="36">
        <f t="shared" si="26"/>
        <v>0</v>
      </c>
      <c r="I110" s="30">
        <f t="shared" si="26"/>
        <v>0</v>
      </c>
      <c r="J110" s="30">
        <f t="shared" si="26"/>
        <v>0</v>
      </c>
      <c r="K110" s="146" t="str">
        <f t="shared" si="27"/>
        <v/>
      </c>
      <c r="L110" s="142" t="str">
        <f>IF($M93 = 0, "", (SUMIFS(PendingLengthOfCase, PendingMSO,$A110, PendingInternalDisposition, "&lt;&gt;Sustained", PendingCloseDate, "&gt;="&amp;$B$9, PendingCloseDate, "&lt;="&amp;$B$10) + SUMIFS(OpenedLengthOfCase, OpenedMSO,$A110, OpenedInternalDisposition, "&lt;&gt;Sustained", OpenedCloseDate, "&gt;="&amp;$B$9, OpenedCloseDate, "&lt;="&amp;$B$10)) / $M93)</f>
        <v/>
      </c>
    </row>
    <row r="111" spans="1:19" ht="15" customHeight="1" x14ac:dyDescent="0.25">
      <c r="A111" s="58" t="s">
        <v>652</v>
      </c>
      <c r="B111" s="29">
        <f t="shared" si="24"/>
        <v>0</v>
      </c>
      <c r="C111" s="29">
        <f t="shared" si="24"/>
        <v>0</v>
      </c>
      <c r="D111" s="29">
        <f t="shared" si="24"/>
        <v>0</v>
      </c>
      <c r="E111" s="147" t="str">
        <f t="shared" si="25"/>
        <v/>
      </c>
      <c r="F111" s="141" t="str">
        <f t="shared" si="25"/>
        <v/>
      </c>
      <c r="G111" s="141" t="str">
        <f t="shared" si="25"/>
        <v/>
      </c>
      <c r="H111" s="35">
        <f t="shared" si="26"/>
        <v>0</v>
      </c>
      <c r="I111" s="29">
        <f t="shared" si="26"/>
        <v>0</v>
      </c>
      <c r="J111" s="29">
        <f t="shared" si="26"/>
        <v>0</v>
      </c>
      <c r="K111" s="147" t="str">
        <f t="shared" si="27"/>
        <v/>
      </c>
      <c r="L111" s="141" t="str">
        <f t="shared" si="28"/>
        <v/>
      </c>
    </row>
    <row r="112" spans="1:19" ht="15" customHeight="1" x14ac:dyDescent="0.25">
      <c r="A112" s="57" t="s">
        <v>653</v>
      </c>
      <c r="B112" s="30">
        <f t="shared" si="24"/>
        <v>0</v>
      </c>
      <c r="C112" s="30">
        <f t="shared" si="24"/>
        <v>0</v>
      </c>
      <c r="D112" s="30">
        <f t="shared" si="24"/>
        <v>0</v>
      </c>
      <c r="E112" s="146" t="str">
        <f t="shared" si="25"/>
        <v/>
      </c>
      <c r="F112" s="142" t="str">
        <f t="shared" si="25"/>
        <v/>
      </c>
      <c r="G112" s="142" t="str">
        <f t="shared" si="25"/>
        <v/>
      </c>
      <c r="H112" s="36">
        <f t="shared" si="26"/>
        <v>0</v>
      </c>
      <c r="I112" s="30">
        <f t="shared" si="26"/>
        <v>0</v>
      </c>
      <c r="J112" s="30">
        <f t="shared" si="26"/>
        <v>0</v>
      </c>
      <c r="K112" s="146" t="str">
        <f t="shared" si="27"/>
        <v/>
      </c>
      <c r="L112" s="142" t="str">
        <f t="shared" si="28"/>
        <v/>
      </c>
    </row>
    <row r="113" spans="1:17" ht="15" customHeight="1" x14ac:dyDescent="0.25">
      <c r="A113" s="58" t="s">
        <v>654</v>
      </c>
      <c r="B113" s="29">
        <f t="shared" si="24"/>
        <v>0</v>
      </c>
      <c r="C113" s="29">
        <f t="shared" si="24"/>
        <v>0</v>
      </c>
      <c r="D113" s="29">
        <f t="shared" si="24"/>
        <v>0</v>
      </c>
      <c r="E113" s="147" t="str">
        <f t="shared" si="25"/>
        <v/>
      </c>
      <c r="F113" s="141" t="str">
        <f t="shared" si="25"/>
        <v/>
      </c>
      <c r="G113" s="141" t="str">
        <f t="shared" si="25"/>
        <v/>
      </c>
      <c r="H113" s="35">
        <f t="shared" si="26"/>
        <v>0</v>
      </c>
      <c r="I113" s="29">
        <f t="shared" si="26"/>
        <v>0</v>
      </c>
      <c r="J113" s="29">
        <f t="shared" si="26"/>
        <v>0</v>
      </c>
      <c r="K113" s="147" t="str">
        <f t="shared" si="27"/>
        <v/>
      </c>
      <c r="L113" s="141" t="str">
        <f t="shared" si="28"/>
        <v/>
      </c>
    </row>
    <row r="114" spans="1:17" x14ac:dyDescent="0.25">
      <c r="A114" s="57" t="s">
        <v>655</v>
      </c>
      <c r="B114" s="30">
        <f t="shared" si="24"/>
        <v>0</v>
      </c>
      <c r="C114" s="30">
        <f t="shared" si="24"/>
        <v>0</v>
      </c>
      <c r="D114" s="30">
        <f t="shared" si="24"/>
        <v>0</v>
      </c>
      <c r="E114" s="146" t="str">
        <f t="shared" si="25"/>
        <v/>
      </c>
      <c r="F114" s="142" t="str">
        <f t="shared" si="25"/>
        <v/>
      </c>
      <c r="G114" s="142" t="str">
        <f t="shared" si="25"/>
        <v/>
      </c>
      <c r="H114" s="36">
        <f t="shared" si="26"/>
        <v>0</v>
      </c>
      <c r="I114" s="30">
        <f t="shared" si="26"/>
        <v>0</v>
      </c>
      <c r="J114" s="30">
        <f t="shared" si="26"/>
        <v>0</v>
      </c>
      <c r="K114" s="146" t="str">
        <f t="shared" si="27"/>
        <v/>
      </c>
      <c r="L114" s="142" t="str">
        <f t="shared" si="28"/>
        <v/>
      </c>
    </row>
    <row r="115" spans="1:17" x14ac:dyDescent="0.25">
      <c r="A115" s="58" t="s">
        <v>656</v>
      </c>
      <c r="B115" s="29">
        <f t="shared" si="24"/>
        <v>0</v>
      </c>
      <c r="C115" s="29">
        <f t="shared" si="24"/>
        <v>0</v>
      </c>
      <c r="D115" s="29">
        <f t="shared" si="24"/>
        <v>0</v>
      </c>
      <c r="E115" s="147" t="str">
        <f t="shared" si="25"/>
        <v/>
      </c>
      <c r="F115" s="141" t="str">
        <f t="shared" si="25"/>
        <v/>
      </c>
      <c r="G115" s="141" t="str">
        <f t="shared" si="25"/>
        <v/>
      </c>
      <c r="H115" s="35">
        <f t="shared" si="26"/>
        <v>0</v>
      </c>
      <c r="I115" s="29">
        <f t="shared" si="26"/>
        <v>0</v>
      </c>
      <c r="J115" s="29">
        <f t="shared" si="26"/>
        <v>0</v>
      </c>
      <c r="K115" s="147" t="str">
        <f t="shared" si="27"/>
        <v/>
      </c>
      <c r="L115" s="141" t="str">
        <f t="shared" si="28"/>
        <v/>
      </c>
    </row>
    <row r="116" spans="1:17" x14ac:dyDescent="0.25">
      <c r="A116" s="57" t="s">
        <v>5</v>
      </c>
      <c r="B116" s="30">
        <f t="shared" si="24"/>
        <v>0</v>
      </c>
      <c r="C116" s="30">
        <f t="shared" si="24"/>
        <v>0</v>
      </c>
      <c r="D116" s="30">
        <f t="shared" si="24"/>
        <v>0</v>
      </c>
      <c r="E116" s="146" t="str">
        <f t="shared" si="25"/>
        <v/>
      </c>
      <c r="F116" s="142" t="str">
        <f t="shared" si="25"/>
        <v/>
      </c>
      <c r="G116" s="142" t="str">
        <f t="shared" si="25"/>
        <v/>
      </c>
      <c r="H116" s="36">
        <f t="shared" si="26"/>
        <v>0</v>
      </c>
      <c r="I116" s="30">
        <f t="shared" si="26"/>
        <v>0</v>
      </c>
      <c r="J116" s="30">
        <f t="shared" si="26"/>
        <v>0</v>
      </c>
      <c r="K116" s="146" t="str">
        <f t="shared" si="27"/>
        <v/>
      </c>
      <c r="L116" s="142" t="str">
        <f t="shared" si="28"/>
        <v/>
      </c>
    </row>
    <row r="117" spans="1:17" x14ac:dyDescent="0.25">
      <c r="A117" s="47" t="s">
        <v>657</v>
      </c>
      <c r="B117" s="29">
        <f t="shared" si="24"/>
        <v>0</v>
      </c>
      <c r="C117" s="29">
        <f t="shared" si="24"/>
        <v>0</v>
      </c>
      <c r="D117" s="29">
        <f t="shared" si="24"/>
        <v>0</v>
      </c>
      <c r="E117" s="144" t="str">
        <f t="shared" si="25"/>
        <v/>
      </c>
      <c r="F117" s="145" t="str">
        <f t="shared" si="25"/>
        <v/>
      </c>
      <c r="G117" s="145" t="str">
        <f t="shared" si="25"/>
        <v/>
      </c>
      <c r="H117" s="35">
        <f t="shared" si="26"/>
        <v>0</v>
      </c>
      <c r="I117" s="29">
        <f t="shared" si="26"/>
        <v>0</v>
      </c>
      <c r="J117" s="29">
        <f t="shared" si="26"/>
        <v>0</v>
      </c>
      <c r="K117" s="147" t="str">
        <f t="shared" si="27"/>
        <v/>
      </c>
      <c r="L117" s="141" t="str">
        <f t="shared" si="28"/>
        <v/>
      </c>
    </row>
    <row r="118" spans="1:17" x14ac:dyDescent="0.25">
      <c r="A118" s="62" t="s">
        <v>615</v>
      </c>
      <c r="B118" s="43">
        <f>SUM(B109:B117)</f>
        <v>0</v>
      </c>
      <c r="C118" s="43">
        <f t="shared" ref="C118:D118" si="29">SUM(C109:C117)</f>
        <v>0</v>
      </c>
      <c r="D118" s="43">
        <f t="shared" si="29"/>
        <v>0</v>
      </c>
      <c r="E118" s="14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142"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142"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0">SUM(H109:H117)</f>
        <v>0</v>
      </c>
      <c r="I118" s="43">
        <f t="shared" si="30"/>
        <v>0</v>
      </c>
      <c r="J118" s="43">
        <f t="shared" si="30"/>
        <v>0</v>
      </c>
      <c r="K118" s="150" t="str">
        <f>IF(B101-M101 = 0, "", (SUMIFS(PendingLengthOfCase, PendingInternalDisposition, "Sustained", PendingCloseDate, "&gt;="&amp;$B$9, PendingCloseDate, "&lt;="&amp;$B$10) + SUMIFS(OpenedLengthOfCase, OpenedInternalDisposition, "Sustained", OpenedCloseDate, "&gt;="&amp;$B$9, OpenedCloseDate, "&lt;="&amp;$B$10)) / (B101-M101))</f>
        <v/>
      </c>
      <c r="L118" s="15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07" t="str">
        <f>$B$8&amp;": Cases Opened and Closed, Alleged Other Rule Violations"</f>
        <v>Q4: Cases Opened and Closed, Alleged Other Rule Violations</v>
      </c>
      <c r="B120" s="207"/>
      <c r="C120" s="207"/>
      <c r="D120" s="207"/>
      <c r="E120" s="207"/>
      <c r="F120" s="207"/>
      <c r="G120" s="207"/>
      <c r="H120" s="207"/>
      <c r="I120" s="207"/>
      <c r="J120" s="207"/>
      <c r="K120" s="207"/>
      <c r="L120" s="207"/>
      <c r="M120" s="207"/>
      <c r="N120" s="207"/>
      <c r="O120" s="207"/>
      <c r="P120" s="207"/>
      <c r="Q120" s="207"/>
    </row>
    <row r="121" spans="1:17" x14ac:dyDescent="0.25">
      <c r="A121" s="207"/>
      <c r="B121" s="207"/>
      <c r="C121" s="207"/>
      <c r="D121" s="207"/>
      <c r="E121" s="207"/>
      <c r="F121" s="207"/>
      <c r="G121" s="207"/>
      <c r="H121" s="207"/>
      <c r="I121" s="207"/>
      <c r="J121" s="207"/>
      <c r="K121" s="207"/>
      <c r="L121" s="207"/>
      <c r="M121" s="207"/>
      <c r="N121" s="207"/>
      <c r="O121" s="207"/>
      <c r="P121" s="207"/>
      <c r="Q121" s="207"/>
    </row>
    <row r="122" spans="1:17" ht="21" x14ac:dyDescent="0.25">
      <c r="A122" s="183" t="s">
        <v>719</v>
      </c>
      <c r="B122" s="183"/>
      <c r="C122" s="183"/>
      <c r="D122" s="183"/>
      <c r="E122" s="183"/>
      <c r="F122" s="183"/>
      <c r="G122" s="183"/>
      <c r="H122" s="183"/>
      <c r="I122" s="183"/>
      <c r="J122" s="183"/>
      <c r="K122" s="183"/>
      <c r="L122" s="183"/>
      <c r="M122" s="172" t="s">
        <v>33</v>
      </c>
      <c r="N122" s="172"/>
      <c r="O122" s="184" t="str">
        <f>'Start Here'!C$13</f>
        <v>Wharton Police Department</v>
      </c>
      <c r="P122" s="184"/>
      <c r="Q122" s="184"/>
    </row>
    <row r="123" spans="1:17" x14ac:dyDescent="0.25">
      <c r="D123" s="175" t="s">
        <v>25</v>
      </c>
      <c r="E123" s="175"/>
      <c r="F123" s="175"/>
      <c r="G123" s="175"/>
      <c r="H123" s="175"/>
      <c r="I123" s="175"/>
      <c r="J123" s="175"/>
      <c r="K123" s="175"/>
      <c r="L123" s="175"/>
      <c r="M123" s="172" t="s">
        <v>34</v>
      </c>
      <c r="N123" s="172"/>
      <c r="O123" s="12">
        <f>'Start Here'!$C$16</f>
        <v>2023</v>
      </c>
    </row>
    <row r="124" spans="1:17" x14ac:dyDescent="0.25">
      <c r="C124" s="65"/>
      <c r="D124" s="203" t="s">
        <v>32</v>
      </c>
      <c r="E124" s="203"/>
      <c r="F124" s="203"/>
      <c r="G124" s="205" t="s">
        <v>624</v>
      </c>
      <c r="H124" s="203"/>
      <c r="I124" s="203"/>
      <c r="J124" s="206" t="s">
        <v>646</v>
      </c>
      <c r="K124" s="186"/>
      <c r="L124" s="186"/>
    </row>
    <row r="125" spans="1:17" ht="16.5" customHeight="1" x14ac:dyDescent="0.25">
      <c r="A125" s="201" t="s">
        <v>736</v>
      </c>
      <c r="B125" s="201"/>
      <c r="C125" s="202"/>
      <c r="D125" s="129" t="s">
        <v>28</v>
      </c>
      <c r="E125" s="51" t="s">
        <v>27</v>
      </c>
      <c r="F125" s="53" t="s">
        <v>26</v>
      </c>
      <c r="G125" s="52" t="s">
        <v>28</v>
      </c>
      <c r="H125" s="51" t="s">
        <v>27</v>
      </c>
      <c r="I125" s="53" t="s">
        <v>26</v>
      </c>
      <c r="J125" s="52" t="s">
        <v>28</v>
      </c>
      <c r="K125" s="51" t="s">
        <v>27</v>
      </c>
      <c r="L125" s="51" t="s">
        <v>26</v>
      </c>
    </row>
    <row r="126" spans="1:17" ht="15.75" thickBot="1" x14ac:dyDescent="0.3">
      <c r="A126" s="72" t="s">
        <v>659</v>
      </c>
      <c r="B126" s="73"/>
      <c r="C126" s="74"/>
      <c r="D126" s="42">
        <f t="shared" ref="D126:F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si="31"/>
        <v>0</v>
      </c>
      <c r="F126" s="64">
        <f t="shared" si="31"/>
        <v>0</v>
      </c>
      <c r="G126" s="29">
        <f t="shared" ref="G126:I141" si="32">COUNTIFS(OpenedRuleViolation, $A126, OpenedComplaintSource, E$57, OpenedComplaintReceived, "&gt;="&amp;$B$9, OpenedComplaintReceived,"&lt;="&amp;$B$10)</f>
        <v>0</v>
      </c>
      <c r="H126" s="29">
        <f t="shared" si="32"/>
        <v>0</v>
      </c>
      <c r="I126" s="64">
        <f t="shared" si="32"/>
        <v>0</v>
      </c>
      <c r="J126" s="29" t="str">
        <f t="shared" ref="J126:L141" si="33">IF(G126=0,"",(SUMIFS(OpenedNInitial,OpenedRuleViolation,$A126,OpenedComplaintSource,H$57,OpenedComplaintReceived,"&gt;="&amp;$B$9,OpenedComplaintReceived,"&lt;="&amp;$B$10)/G126))</f>
        <v/>
      </c>
      <c r="K126" s="29" t="str">
        <f t="shared" si="33"/>
        <v/>
      </c>
      <c r="L126" s="29" t="str">
        <f t="shared" si="33"/>
        <v/>
      </c>
    </row>
    <row r="127" spans="1:17" x14ac:dyDescent="0.25">
      <c r="A127" s="2" t="s">
        <v>649</v>
      </c>
      <c r="B127" s="67"/>
      <c r="C127" s="71"/>
      <c r="D127" s="30">
        <f t="shared" si="31"/>
        <v>0</v>
      </c>
      <c r="E127" s="30">
        <f t="shared" si="31"/>
        <v>0</v>
      </c>
      <c r="F127" s="31">
        <f t="shared" si="31"/>
        <v>0</v>
      </c>
      <c r="G127" s="30">
        <f t="shared" si="32"/>
        <v>0</v>
      </c>
      <c r="H127" s="30">
        <f t="shared" si="32"/>
        <v>0</v>
      </c>
      <c r="I127" s="31">
        <f t="shared" si="32"/>
        <v>0</v>
      </c>
      <c r="J127" s="30" t="str">
        <f t="shared" si="33"/>
        <v/>
      </c>
      <c r="K127" s="30" t="str">
        <f t="shared" si="33"/>
        <v/>
      </c>
      <c r="L127" s="30" t="str">
        <f t="shared" si="33"/>
        <v/>
      </c>
      <c r="N127" s="188" t="s">
        <v>720</v>
      </c>
      <c r="O127" s="189"/>
      <c r="P127" s="190"/>
    </row>
    <row r="128" spans="1:17" x14ac:dyDescent="0.25">
      <c r="A128" s="1" t="s">
        <v>650</v>
      </c>
      <c r="C128" s="65"/>
      <c r="D128" s="29">
        <f t="shared" si="31"/>
        <v>0</v>
      </c>
      <c r="E128" s="29">
        <f t="shared" si="31"/>
        <v>0</v>
      </c>
      <c r="F128" s="50">
        <f t="shared" si="31"/>
        <v>0</v>
      </c>
      <c r="G128" s="29">
        <f t="shared" si="32"/>
        <v>0</v>
      </c>
      <c r="H128" s="29">
        <f t="shared" si="32"/>
        <v>0</v>
      </c>
      <c r="I128" s="50">
        <f t="shared" si="32"/>
        <v>0</v>
      </c>
      <c r="J128" s="29" t="str">
        <f t="shared" si="33"/>
        <v/>
      </c>
      <c r="K128" s="29" t="str">
        <f t="shared" si="33"/>
        <v/>
      </c>
      <c r="L128" s="29" t="str">
        <f t="shared" si="33"/>
        <v/>
      </c>
      <c r="N128" s="191"/>
      <c r="O128" s="192"/>
      <c r="P128" s="193"/>
    </row>
    <row r="129" spans="1:23" x14ac:dyDescent="0.25">
      <c r="A129" s="2" t="s">
        <v>687</v>
      </c>
      <c r="B129" s="67"/>
      <c r="C129" s="71"/>
      <c r="D129" s="30">
        <f t="shared" si="31"/>
        <v>0</v>
      </c>
      <c r="E129" s="30">
        <f t="shared" si="31"/>
        <v>0</v>
      </c>
      <c r="F129" s="31">
        <f t="shared" si="31"/>
        <v>0</v>
      </c>
      <c r="G129" s="30">
        <f t="shared" si="32"/>
        <v>0</v>
      </c>
      <c r="H129" s="30">
        <f t="shared" si="32"/>
        <v>0</v>
      </c>
      <c r="I129" s="31">
        <f t="shared" si="32"/>
        <v>0</v>
      </c>
      <c r="J129" s="30" t="str">
        <f t="shared" si="33"/>
        <v/>
      </c>
      <c r="K129" s="30" t="str">
        <f t="shared" si="33"/>
        <v/>
      </c>
      <c r="L129" s="30" t="str">
        <f t="shared" si="33"/>
        <v/>
      </c>
      <c r="N129" s="191"/>
      <c r="O129" s="192"/>
      <c r="P129" s="193"/>
    </row>
    <row r="130" spans="1:23" x14ac:dyDescent="0.25">
      <c r="A130" s="1" t="s">
        <v>660</v>
      </c>
      <c r="C130" s="65"/>
      <c r="D130" s="29">
        <f t="shared" si="31"/>
        <v>1</v>
      </c>
      <c r="E130" s="29">
        <f t="shared" si="31"/>
        <v>0</v>
      </c>
      <c r="F130" s="50">
        <f t="shared" si="31"/>
        <v>0</v>
      </c>
      <c r="G130" s="29">
        <f t="shared" si="32"/>
        <v>0</v>
      </c>
      <c r="H130" s="29">
        <f t="shared" si="32"/>
        <v>0</v>
      </c>
      <c r="I130" s="50">
        <f t="shared" si="32"/>
        <v>0</v>
      </c>
      <c r="J130" s="29" t="str">
        <f t="shared" si="33"/>
        <v/>
      </c>
      <c r="K130" s="29" t="str">
        <f t="shared" si="33"/>
        <v/>
      </c>
      <c r="L130" s="29" t="str">
        <f t="shared" si="33"/>
        <v/>
      </c>
      <c r="N130" s="191"/>
      <c r="O130" s="192"/>
      <c r="P130" s="193"/>
    </row>
    <row r="131" spans="1:23" x14ac:dyDescent="0.25">
      <c r="A131" s="2" t="s">
        <v>688</v>
      </c>
      <c r="B131" s="67"/>
      <c r="C131" s="71"/>
      <c r="D131" s="30">
        <f t="shared" si="31"/>
        <v>0</v>
      </c>
      <c r="E131" s="30">
        <f t="shared" si="31"/>
        <v>0</v>
      </c>
      <c r="F131" s="31">
        <f t="shared" si="31"/>
        <v>0</v>
      </c>
      <c r="G131" s="30">
        <f t="shared" si="32"/>
        <v>0</v>
      </c>
      <c r="H131" s="30">
        <f t="shared" si="32"/>
        <v>0</v>
      </c>
      <c r="I131" s="31">
        <f t="shared" si="32"/>
        <v>0</v>
      </c>
      <c r="J131" s="30" t="str">
        <f t="shared" si="33"/>
        <v/>
      </c>
      <c r="K131" s="30" t="str">
        <f t="shared" si="33"/>
        <v/>
      </c>
      <c r="L131" s="30" t="str">
        <f t="shared" si="33"/>
        <v/>
      </c>
      <c r="N131" s="191"/>
      <c r="O131" s="192"/>
      <c r="P131" s="193"/>
    </row>
    <row r="132" spans="1:23" x14ac:dyDescent="0.25">
      <c r="A132" s="1" t="s">
        <v>689</v>
      </c>
      <c r="C132" s="65"/>
      <c r="D132" s="29">
        <f t="shared" si="31"/>
        <v>0</v>
      </c>
      <c r="E132" s="29">
        <f t="shared" si="31"/>
        <v>0</v>
      </c>
      <c r="F132" s="50">
        <f t="shared" si="31"/>
        <v>0</v>
      </c>
      <c r="G132" s="29">
        <f t="shared" si="32"/>
        <v>0</v>
      </c>
      <c r="H132" s="29">
        <f t="shared" si="32"/>
        <v>0</v>
      </c>
      <c r="I132" s="50">
        <f t="shared" si="32"/>
        <v>0</v>
      </c>
      <c r="J132" s="29" t="str">
        <f t="shared" si="33"/>
        <v/>
      </c>
      <c r="K132" s="29" t="str">
        <f t="shared" si="33"/>
        <v/>
      </c>
      <c r="L132" s="29" t="str">
        <f t="shared" si="33"/>
        <v/>
      </c>
      <c r="N132" s="191"/>
      <c r="O132" s="192"/>
      <c r="P132" s="193"/>
    </row>
    <row r="133" spans="1:23" x14ac:dyDescent="0.25">
      <c r="A133" s="2" t="s">
        <v>661</v>
      </c>
      <c r="B133" s="67"/>
      <c r="C133" s="71"/>
      <c r="D133" s="30">
        <f t="shared" si="31"/>
        <v>0</v>
      </c>
      <c r="E133" s="30">
        <f t="shared" si="31"/>
        <v>0</v>
      </c>
      <c r="F133" s="31">
        <f t="shared" si="31"/>
        <v>0</v>
      </c>
      <c r="G133" s="30">
        <f t="shared" si="32"/>
        <v>0</v>
      </c>
      <c r="H133" s="30">
        <f t="shared" si="32"/>
        <v>0</v>
      </c>
      <c r="I133" s="31">
        <f t="shared" si="32"/>
        <v>0</v>
      </c>
      <c r="J133" s="30" t="str">
        <f t="shared" si="33"/>
        <v/>
      </c>
      <c r="K133" s="30" t="str">
        <f t="shared" si="33"/>
        <v/>
      </c>
      <c r="L133" s="30" t="str">
        <f t="shared" si="33"/>
        <v/>
      </c>
      <c r="N133" s="191"/>
      <c r="O133" s="192"/>
      <c r="P133" s="193"/>
    </row>
    <row r="134" spans="1:23" x14ac:dyDescent="0.25">
      <c r="A134" s="1" t="s">
        <v>671</v>
      </c>
      <c r="C134" s="65"/>
      <c r="D134" s="29">
        <f t="shared" si="31"/>
        <v>0</v>
      </c>
      <c r="E134" s="29">
        <f t="shared" si="31"/>
        <v>0</v>
      </c>
      <c r="F134" s="50">
        <f t="shared" si="31"/>
        <v>0</v>
      </c>
      <c r="G134" s="29">
        <f t="shared" si="32"/>
        <v>0</v>
      </c>
      <c r="H134" s="29">
        <f t="shared" si="32"/>
        <v>0</v>
      </c>
      <c r="I134" s="50">
        <f t="shared" si="32"/>
        <v>0</v>
      </c>
      <c r="J134" s="29" t="str">
        <f t="shared" si="33"/>
        <v/>
      </c>
      <c r="K134" s="29" t="str">
        <f t="shared" si="33"/>
        <v/>
      </c>
      <c r="L134" s="29" t="str">
        <f t="shared" si="33"/>
        <v/>
      </c>
      <c r="N134" s="191"/>
      <c r="O134" s="192"/>
      <c r="P134" s="193"/>
    </row>
    <row r="135" spans="1:23" ht="15.75" thickBot="1" x14ac:dyDescent="0.3">
      <c r="A135" s="2" t="s">
        <v>675</v>
      </c>
      <c r="B135" s="67"/>
      <c r="C135" s="71"/>
      <c r="D135" s="30">
        <f t="shared" si="31"/>
        <v>0</v>
      </c>
      <c r="E135" s="30">
        <f t="shared" si="31"/>
        <v>0</v>
      </c>
      <c r="F135" s="31">
        <f t="shared" si="31"/>
        <v>0</v>
      </c>
      <c r="G135" s="30">
        <f t="shared" si="32"/>
        <v>2</v>
      </c>
      <c r="H135" s="30">
        <f t="shared" si="32"/>
        <v>0</v>
      </c>
      <c r="I135" s="31">
        <f t="shared" si="32"/>
        <v>0</v>
      </c>
      <c r="J135" s="67">
        <f t="shared" si="33"/>
        <v>0</v>
      </c>
      <c r="K135" s="67" t="str">
        <f t="shared" si="33"/>
        <v/>
      </c>
      <c r="L135" s="67" t="str">
        <f t="shared" si="33"/>
        <v/>
      </c>
      <c r="N135" s="194"/>
      <c r="O135" s="195"/>
      <c r="P135" s="196"/>
    </row>
    <row r="136" spans="1:23" x14ac:dyDescent="0.25">
      <c r="A136" s="1" t="s">
        <v>676</v>
      </c>
      <c r="C136" s="65"/>
      <c r="D136" s="29">
        <f t="shared" si="31"/>
        <v>0</v>
      </c>
      <c r="E136" s="29">
        <f t="shared" si="31"/>
        <v>0</v>
      </c>
      <c r="F136" s="50">
        <f t="shared" si="31"/>
        <v>0</v>
      </c>
      <c r="G136" s="29">
        <f t="shared" si="32"/>
        <v>0</v>
      </c>
      <c r="H136" s="29">
        <f t="shared" si="32"/>
        <v>0</v>
      </c>
      <c r="I136" s="50">
        <f t="shared" si="32"/>
        <v>0</v>
      </c>
      <c r="J136" t="str">
        <f t="shared" si="33"/>
        <v/>
      </c>
      <c r="K136" t="str">
        <f t="shared" si="33"/>
        <v/>
      </c>
      <c r="L136" t="str">
        <f t="shared" si="33"/>
        <v/>
      </c>
    </row>
    <row r="137" spans="1:23" x14ac:dyDescent="0.25">
      <c r="A137" s="2" t="s">
        <v>690</v>
      </c>
      <c r="B137" s="67"/>
      <c r="C137" s="71"/>
      <c r="D137" s="30">
        <f t="shared" si="31"/>
        <v>0</v>
      </c>
      <c r="E137" s="30">
        <f t="shared" si="31"/>
        <v>0</v>
      </c>
      <c r="F137" s="31">
        <f t="shared" si="31"/>
        <v>0</v>
      </c>
      <c r="G137" s="30">
        <f t="shared" si="32"/>
        <v>0</v>
      </c>
      <c r="H137" s="30">
        <f t="shared" si="32"/>
        <v>0</v>
      </c>
      <c r="I137" s="31">
        <f t="shared" si="32"/>
        <v>0</v>
      </c>
      <c r="J137" s="67" t="str">
        <f t="shared" si="33"/>
        <v/>
      </c>
      <c r="K137" s="67" t="str">
        <f t="shared" si="33"/>
        <v/>
      </c>
      <c r="L137" s="67" t="str">
        <f t="shared" si="33"/>
        <v/>
      </c>
    </row>
    <row r="138" spans="1:23" x14ac:dyDescent="0.25">
      <c r="A138" s="1" t="s">
        <v>677</v>
      </c>
      <c r="C138" s="65"/>
      <c r="D138" s="29">
        <f t="shared" si="31"/>
        <v>0</v>
      </c>
      <c r="E138" s="29">
        <f t="shared" si="31"/>
        <v>0</v>
      </c>
      <c r="F138" s="50">
        <f t="shared" si="31"/>
        <v>0</v>
      </c>
      <c r="G138" s="29">
        <f t="shared" si="32"/>
        <v>0</v>
      </c>
      <c r="H138" s="29">
        <f t="shared" si="32"/>
        <v>0</v>
      </c>
      <c r="I138" s="50">
        <f t="shared" si="32"/>
        <v>0</v>
      </c>
      <c r="J138" t="str">
        <f t="shared" si="33"/>
        <v/>
      </c>
      <c r="K138" t="str">
        <f t="shared" si="33"/>
        <v/>
      </c>
      <c r="L138" t="str">
        <f t="shared" si="33"/>
        <v/>
      </c>
    </row>
    <row r="139" spans="1:23" x14ac:dyDescent="0.25">
      <c r="A139" s="2" t="s">
        <v>691</v>
      </c>
      <c r="B139" s="67"/>
      <c r="C139" s="71"/>
      <c r="D139" s="30">
        <f t="shared" si="31"/>
        <v>0</v>
      </c>
      <c r="E139" s="30">
        <f t="shared" si="31"/>
        <v>0</v>
      </c>
      <c r="F139" s="31">
        <f t="shared" si="31"/>
        <v>0</v>
      </c>
      <c r="G139" s="30">
        <f t="shared" si="32"/>
        <v>1</v>
      </c>
      <c r="H139" s="30">
        <f t="shared" si="32"/>
        <v>0</v>
      </c>
      <c r="I139" s="31">
        <f t="shared" si="32"/>
        <v>0</v>
      </c>
      <c r="J139" s="67">
        <f t="shared" si="33"/>
        <v>0</v>
      </c>
      <c r="K139" s="67" t="str">
        <f t="shared" si="33"/>
        <v/>
      </c>
      <c r="L139" s="67" t="str">
        <f t="shared" si="33"/>
        <v/>
      </c>
    </row>
    <row r="140" spans="1:23" x14ac:dyDescent="0.25">
      <c r="A140" s="1" t="s">
        <v>678</v>
      </c>
      <c r="C140" s="65"/>
      <c r="D140" s="29">
        <f t="shared" si="31"/>
        <v>0</v>
      </c>
      <c r="E140" s="29">
        <f t="shared" si="31"/>
        <v>0</v>
      </c>
      <c r="F140" s="50">
        <f t="shared" si="31"/>
        <v>0</v>
      </c>
      <c r="G140" s="29">
        <f t="shared" si="32"/>
        <v>0</v>
      </c>
      <c r="H140" s="29">
        <f t="shared" si="32"/>
        <v>0</v>
      </c>
      <c r="I140" s="50">
        <f t="shared" si="32"/>
        <v>0</v>
      </c>
      <c r="J140" t="str">
        <f t="shared" si="33"/>
        <v/>
      </c>
      <c r="K140" t="str">
        <f t="shared" si="33"/>
        <v/>
      </c>
      <c r="L140" t="str">
        <f t="shared" si="33"/>
        <v/>
      </c>
    </row>
    <row r="141" spans="1:23" x14ac:dyDescent="0.25">
      <c r="A141" s="75" t="s">
        <v>679</v>
      </c>
      <c r="B141" s="76"/>
      <c r="C141" s="77"/>
      <c r="D141" s="30">
        <f t="shared" si="31"/>
        <v>1</v>
      </c>
      <c r="E141" s="30">
        <f t="shared" si="31"/>
        <v>0</v>
      </c>
      <c r="F141" s="68">
        <f t="shared" si="31"/>
        <v>0</v>
      </c>
      <c r="G141" s="30">
        <f t="shared" si="32"/>
        <v>0</v>
      </c>
      <c r="H141" s="30">
        <f t="shared" si="32"/>
        <v>0</v>
      </c>
      <c r="I141" s="68">
        <f t="shared" si="32"/>
        <v>0</v>
      </c>
      <c r="J141" s="67" t="str">
        <f t="shared" si="33"/>
        <v/>
      </c>
      <c r="K141" s="67" t="str">
        <f t="shared" si="33"/>
        <v/>
      </c>
      <c r="L141" s="67" t="str">
        <f t="shared" si="33"/>
        <v/>
      </c>
    </row>
    <row r="142" spans="1:23" x14ac:dyDescent="0.25">
      <c r="D142" s="70">
        <f t="shared" ref="D142" si="34">SUM(D126:D141)</f>
        <v>2</v>
      </c>
      <c r="E142" s="69">
        <f>SUM(E126:E141)</f>
        <v>0</v>
      </c>
      <c r="F142" s="69">
        <f>SUM(F126:F141)</f>
        <v>0</v>
      </c>
      <c r="G142" s="70">
        <f t="shared" ref="G142:H142" si="35">SUM(G126:G141)</f>
        <v>3</v>
      </c>
      <c r="H142" s="69">
        <f t="shared" si="35"/>
        <v>0</v>
      </c>
      <c r="I142" s="69">
        <f>SUM(I126:I141)</f>
        <v>0</v>
      </c>
      <c r="J142" s="70">
        <f>IF(G142=0,"",(SUMIFS(OpenedNInitial,OpenedComplaintSource,H$57,OpenedComplaintReceived,"&gt;="&amp;$B$9,OpenedComplaintReceived,"&lt;="&amp;$B$10)/G142))</f>
        <v>0</v>
      </c>
      <c r="K142" s="69" t="str">
        <f>IF(H142=0,"",(SUMIFS(OpenedNInitial,OpenedComplaintSource,I$57,OpenedComplaintReceived,"&gt;="&amp;$B$9,OpenedComplaintReceived,"&lt;="&amp;$B$10)/H142))</f>
        <v/>
      </c>
      <c r="L142" s="69" t="str">
        <f>IF(I142=0,"",(SUMIFS(OpenedNInitial,OpenedComplaintSource,J$57,OpenedComplaintReceived,"&gt;="&amp;$B$9,OpenedComplaintReceived,"&lt;="&amp;$B$10)/I142))</f>
        <v/>
      </c>
    </row>
    <row r="143" spans="1:23" x14ac:dyDescent="0.25">
      <c r="O143" s="98"/>
      <c r="P143" s="98"/>
      <c r="Q143" s="98"/>
      <c r="R143" s="63"/>
      <c r="S143" s="63"/>
      <c r="T143" s="63"/>
      <c r="U143" s="63"/>
      <c r="V143" s="63"/>
      <c r="W143" s="63"/>
    </row>
    <row r="144" spans="1:23" ht="21" x14ac:dyDescent="0.25">
      <c r="A144" s="183" t="s">
        <v>693</v>
      </c>
      <c r="B144" s="183"/>
      <c r="C144" s="183"/>
      <c r="D144" s="183"/>
      <c r="E144" s="183"/>
      <c r="F144" s="183"/>
      <c r="G144" s="183"/>
      <c r="H144" s="183"/>
      <c r="I144" s="183"/>
      <c r="J144" s="183"/>
      <c r="K144" s="183"/>
      <c r="L144" s="183"/>
      <c r="M144" s="183"/>
      <c r="N144" s="183"/>
      <c r="O144" s="183"/>
      <c r="P144" s="183"/>
      <c r="Q144" s="183"/>
    </row>
    <row r="145" spans="1:17" x14ac:dyDescent="0.25">
      <c r="D145" s="185" t="s">
        <v>634</v>
      </c>
      <c r="E145" s="175"/>
      <c r="F145" s="176"/>
      <c r="G145" s="185" t="s">
        <v>25</v>
      </c>
      <c r="H145" s="175"/>
      <c r="I145" s="176"/>
      <c r="J145" s="185" t="s">
        <v>614</v>
      </c>
      <c r="K145" s="175"/>
      <c r="L145" s="175"/>
      <c r="M145" s="176"/>
      <c r="N145" s="185" t="s">
        <v>605</v>
      </c>
      <c r="O145" s="175"/>
      <c r="P145" s="175"/>
      <c r="Q145" s="175"/>
    </row>
    <row r="146" spans="1:17" ht="45" x14ac:dyDescent="0.25">
      <c r="A146" s="201" t="s">
        <v>736</v>
      </c>
      <c r="B146" s="201"/>
      <c r="C146" s="202"/>
      <c r="D146" s="48" t="s">
        <v>642</v>
      </c>
      <c r="E146" s="51" t="s">
        <v>731</v>
      </c>
      <c r="F146" s="51" t="s">
        <v>633</v>
      </c>
      <c r="G146" s="52" t="s">
        <v>28</v>
      </c>
      <c r="H146" s="51" t="s">
        <v>27</v>
      </c>
      <c r="I146" s="51" t="s">
        <v>26</v>
      </c>
      <c r="J146" s="52" t="s">
        <v>12</v>
      </c>
      <c r="K146" s="51" t="s">
        <v>13</v>
      </c>
      <c r="L146" s="51" t="s">
        <v>14</v>
      </c>
      <c r="M146" s="54" t="s">
        <v>15</v>
      </c>
      <c r="N146" s="52" t="s">
        <v>16</v>
      </c>
      <c r="O146" s="51" t="s">
        <v>17</v>
      </c>
      <c r="P146" s="51" t="s">
        <v>18</v>
      </c>
      <c r="Q146" s="51" t="s">
        <v>19</v>
      </c>
    </row>
    <row r="147" spans="1:17" x14ac:dyDescent="0.25">
      <c r="A147" s="72" t="s">
        <v>659</v>
      </c>
      <c r="B147" s="73"/>
      <c r="C147" s="74"/>
      <c r="D147" s="42">
        <f t="shared" ref="D147:D162" si="36">COUNTIFS(PendingRuleViolation,$A147,PendingStatus,"Closed",PendingCloseDate,"&gt;="&amp;$B$9,PendingCloseDate,"&lt;="&amp;$B$10) + COUNTIFS(OpenedRuleViolation,$A147,OpenedStatus,"Closed",OpenedCloseDate,"&gt;="&amp;$B$9,OpenedCloseDate,"&lt;="&amp;$B$10)</f>
        <v>0</v>
      </c>
      <c r="E147" s="141" t="str">
        <f t="shared" ref="E147:E162" si="37">IF(D147=0, "", (SUMIFS(PendingLengthOfCase,PendingStatus, "Closed", PendingRuleViolation,$A147,PendingCloseDate,"&gt;="&amp;$B$9,PendingCloseDate,"&lt;="&amp;$B$10) + SUMIFS(OpenedLengthOfCase,OpenedStatus, "Closed", OpenedRuleViolation,$A147,OpenedCloseDate,"&gt;="&amp;$B$9,OpenedCloseDate,"&lt;="&amp;$B$10)) / D147)</f>
        <v/>
      </c>
      <c r="F147" s="64">
        <f t="shared" ref="F147:F162" si="38">COUNTIFS(PendingRuleViolation,$A147,PendingCloseDate,"&gt;="&amp;$B$9,PendingCloseDate,"&lt;="&amp;$B$10, PendingAppealPending, "Yes") + COUNTIFS(OpenedRuleViolation,$A147,OpenedCloseDate,"&gt;="&amp;$B$9,OpenedCloseDate,"&lt;="&amp;$B$10, OpenedAppealPending, "Yes")</f>
        <v>0</v>
      </c>
      <c r="G147" s="29">
        <f t="shared" ref="G147:I162" si="3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si="39"/>
        <v>0</v>
      </c>
      <c r="I147" s="64">
        <f t="shared" si="39"/>
        <v>0</v>
      </c>
      <c r="J147" s="42">
        <f t="shared" ref="J147:M162" si="40">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si="40"/>
        <v>0</v>
      </c>
      <c r="L147" s="42">
        <f t="shared" si="40"/>
        <v>0</v>
      </c>
      <c r="M147" s="64">
        <f t="shared" si="40"/>
        <v>0</v>
      </c>
      <c r="N147" s="29">
        <f t="shared" ref="N147:O162" si="4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si="41"/>
        <v>0</v>
      </c>
      <c r="P147" s="29">
        <f t="shared" ref="P147:Q162" si="42">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si="42"/>
        <v>0</v>
      </c>
    </row>
    <row r="148" spans="1:17" x14ac:dyDescent="0.25">
      <c r="A148" s="2" t="s">
        <v>649</v>
      </c>
      <c r="B148" s="67"/>
      <c r="C148" s="71"/>
      <c r="D148" s="30">
        <f t="shared" si="36"/>
        <v>0</v>
      </c>
      <c r="E148" s="142" t="str">
        <f t="shared" si="37"/>
        <v/>
      </c>
      <c r="F148" s="31">
        <f t="shared" si="38"/>
        <v>0</v>
      </c>
      <c r="G148" s="30">
        <f t="shared" si="39"/>
        <v>0</v>
      </c>
      <c r="H148" s="30">
        <f t="shared" si="39"/>
        <v>0</v>
      </c>
      <c r="I148" s="31">
        <f t="shared" si="39"/>
        <v>0</v>
      </c>
      <c r="J148" s="30">
        <f t="shared" si="40"/>
        <v>0</v>
      </c>
      <c r="K148" s="30">
        <f t="shared" si="40"/>
        <v>0</v>
      </c>
      <c r="L148" s="30">
        <f t="shared" si="40"/>
        <v>0</v>
      </c>
      <c r="M148" s="31">
        <f t="shared" si="40"/>
        <v>0</v>
      </c>
      <c r="N148" s="30">
        <f t="shared" si="41"/>
        <v>0</v>
      </c>
      <c r="O148" s="30">
        <f t="shared" si="41"/>
        <v>0</v>
      </c>
      <c r="P148" s="30">
        <f t="shared" si="42"/>
        <v>0</v>
      </c>
      <c r="Q148" s="30">
        <f t="shared" si="42"/>
        <v>0</v>
      </c>
    </row>
    <row r="149" spans="1:17" x14ac:dyDescent="0.25">
      <c r="A149" s="1" t="s">
        <v>650</v>
      </c>
      <c r="C149" s="65"/>
      <c r="D149" s="29">
        <f t="shared" si="36"/>
        <v>0</v>
      </c>
      <c r="E149" s="141" t="str">
        <f t="shared" si="37"/>
        <v/>
      </c>
      <c r="F149" s="50">
        <f t="shared" si="38"/>
        <v>0</v>
      </c>
      <c r="G149" s="29">
        <f t="shared" si="39"/>
        <v>0</v>
      </c>
      <c r="H149" s="29">
        <f t="shared" si="39"/>
        <v>0</v>
      </c>
      <c r="I149" s="50">
        <f t="shared" si="39"/>
        <v>0</v>
      </c>
      <c r="J149" s="29">
        <f t="shared" si="40"/>
        <v>0</v>
      </c>
      <c r="K149" s="29">
        <f t="shared" si="40"/>
        <v>0</v>
      </c>
      <c r="L149" s="29">
        <f t="shared" si="40"/>
        <v>0</v>
      </c>
      <c r="M149" s="50">
        <f t="shared" si="40"/>
        <v>0</v>
      </c>
      <c r="N149" s="29">
        <f t="shared" si="41"/>
        <v>0</v>
      </c>
      <c r="O149" s="29">
        <f t="shared" si="41"/>
        <v>0</v>
      </c>
      <c r="P149" s="29">
        <f t="shared" si="42"/>
        <v>0</v>
      </c>
      <c r="Q149" s="29">
        <f t="shared" si="42"/>
        <v>0</v>
      </c>
    </row>
    <row r="150" spans="1:17" x14ac:dyDescent="0.25">
      <c r="A150" s="2" t="s">
        <v>687</v>
      </c>
      <c r="B150" s="67"/>
      <c r="C150" s="71"/>
      <c r="D150" s="30">
        <f t="shared" si="36"/>
        <v>0</v>
      </c>
      <c r="E150" s="142" t="str">
        <f t="shared" si="37"/>
        <v/>
      </c>
      <c r="F150" s="31">
        <f t="shared" si="38"/>
        <v>0</v>
      </c>
      <c r="G150" s="30">
        <f t="shared" si="39"/>
        <v>0</v>
      </c>
      <c r="H150" s="30">
        <f t="shared" si="39"/>
        <v>0</v>
      </c>
      <c r="I150" s="31">
        <f t="shared" si="39"/>
        <v>0</v>
      </c>
      <c r="J150" s="30">
        <f t="shared" si="40"/>
        <v>0</v>
      </c>
      <c r="K150" s="30">
        <f t="shared" si="40"/>
        <v>0</v>
      </c>
      <c r="L150" s="30">
        <f t="shared" si="40"/>
        <v>0</v>
      </c>
      <c r="M150" s="31">
        <f t="shared" si="40"/>
        <v>0</v>
      </c>
      <c r="N150" s="30">
        <f t="shared" si="41"/>
        <v>0</v>
      </c>
      <c r="O150" s="30">
        <f t="shared" si="41"/>
        <v>0</v>
      </c>
      <c r="P150" s="30">
        <f t="shared" si="42"/>
        <v>0</v>
      </c>
      <c r="Q150" s="30">
        <f t="shared" si="42"/>
        <v>0</v>
      </c>
    </row>
    <row r="151" spans="1:17" x14ac:dyDescent="0.25">
      <c r="A151" s="1" t="s">
        <v>660</v>
      </c>
      <c r="C151" s="65"/>
      <c r="D151" s="29">
        <f t="shared" si="36"/>
        <v>0</v>
      </c>
      <c r="E151" s="141" t="str">
        <f t="shared" si="37"/>
        <v/>
      </c>
      <c r="F151" s="50">
        <f t="shared" si="38"/>
        <v>0</v>
      </c>
      <c r="G151" s="29">
        <f t="shared" si="39"/>
        <v>0</v>
      </c>
      <c r="H151" s="29">
        <f t="shared" si="39"/>
        <v>0</v>
      </c>
      <c r="I151" s="50">
        <f t="shared" si="39"/>
        <v>0</v>
      </c>
      <c r="J151" s="29">
        <f t="shared" si="40"/>
        <v>0</v>
      </c>
      <c r="K151" s="29">
        <f t="shared" si="40"/>
        <v>0</v>
      </c>
      <c r="L151" s="29">
        <f t="shared" si="40"/>
        <v>0</v>
      </c>
      <c r="M151" s="50">
        <f t="shared" si="40"/>
        <v>0</v>
      </c>
      <c r="N151" s="29">
        <f t="shared" si="41"/>
        <v>0</v>
      </c>
      <c r="O151" s="29">
        <f t="shared" si="41"/>
        <v>0</v>
      </c>
      <c r="P151" s="29">
        <f t="shared" si="42"/>
        <v>0</v>
      </c>
      <c r="Q151" s="29">
        <f t="shared" si="42"/>
        <v>0</v>
      </c>
    </row>
    <row r="152" spans="1:17" x14ac:dyDescent="0.25">
      <c r="A152" s="2" t="s">
        <v>688</v>
      </c>
      <c r="B152" s="67"/>
      <c r="C152" s="71"/>
      <c r="D152" s="30">
        <f t="shared" si="36"/>
        <v>0</v>
      </c>
      <c r="E152" s="142" t="str">
        <f t="shared" si="37"/>
        <v/>
      </c>
      <c r="F152" s="31">
        <f t="shared" si="38"/>
        <v>0</v>
      </c>
      <c r="G152" s="30">
        <f t="shared" si="39"/>
        <v>0</v>
      </c>
      <c r="H152" s="30">
        <f t="shared" si="39"/>
        <v>0</v>
      </c>
      <c r="I152" s="31">
        <f t="shared" si="39"/>
        <v>0</v>
      </c>
      <c r="J152" s="30">
        <f t="shared" si="40"/>
        <v>0</v>
      </c>
      <c r="K152" s="30">
        <f t="shared" si="40"/>
        <v>0</v>
      </c>
      <c r="L152" s="30">
        <f t="shared" si="40"/>
        <v>0</v>
      </c>
      <c r="M152" s="31">
        <f t="shared" si="40"/>
        <v>0</v>
      </c>
      <c r="N152" s="30">
        <f t="shared" si="41"/>
        <v>0</v>
      </c>
      <c r="O152" s="30">
        <f t="shared" si="41"/>
        <v>0</v>
      </c>
      <c r="P152" s="30">
        <f t="shared" si="42"/>
        <v>0</v>
      </c>
      <c r="Q152" s="30">
        <f t="shared" si="42"/>
        <v>0</v>
      </c>
    </row>
    <row r="153" spans="1:17" x14ac:dyDescent="0.25">
      <c r="A153" s="1" t="s">
        <v>689</v>
      </c>
      <c r="C153" s="65"/>
      <c r="D153" s="29">
        <f t="shared" si="36"/>
        <v>0</v>
      </c>
      <c r="E153" s="141" t="str">
        <f t="shared" si="37"/>
        <v/>
      </c>
      <c r="F153" s="50">
        <f t="shared" si="38"/>
        <v>0</v>
      </c>
      <c r="G153" s="29">
        <f t="shared" si="39"/>
        <v>0</v>
      </c>
      <c r="H153" s="29">
        <f t="shared" si="39"/>
        <v>0</v>
      </c>
      <c r="I153" s="50">
        <f t="shared" si="39"/>
        <v>0</v>
      </c>
      <c r="J153" s="29">
        <f t="shared" si="40"/>
        <v>0</v>
      </c>
      <c r="K153" s="29">
        <f t="shared" si="40"/>
        <v>0</v>
      </c>
      <c r="L153" s="29">
        <f t="shared" si="40"/>
        <v>0</v>
      </c>
      <c r="M153" s="50">
        <f t="shared" si="40"/>
        <v>0</v>
      </c>
      <c r="N153" s="29">
        <f t="shared" si="41"/>
        <v>0</v>
      </c>
      <c r="O153" s="29">
        <f t="shared" si="41"/>
        <v>0</v>
      </c>
      <c r="P153" s="29">
        <f t="shared" si="42"/>
        <v>0</v>
      </c>
      <c r="Q153" s="29">
        <f t="shared" si="42"/>
        <v>0</v>
      </c>
    </row>
    <row r="154" spans="1:17" x14ac:dyDescent="0.25">
      <c r="A154" s="2" t="s">
        <v>661</v>
      </c>
      <c r="B154" s="67"/>
      <c r="C154" s="71"/>
      <c r="D154" s="30">
        <f t="shared" si="36"/>
        <v>0</v>
      </c>
      <c r="E154" s="142" t="str">
        <f t="shared" si="37"/>
        <v/>
      </c>
      <c r="F154" s="31">
        <f t="shared" si="38"/>
        <v>0</v>
      </c>
      <c r="G154" s="30">
        <f t="shared" si="39"/>
        <v>0</v>
      </c>
      <c r="H154" s="30">
        <f t="shared" si="39"/>
        <v>0</v>
      </c>
      <c r="I154" s="31">
        <f t="shared" si="39"/>
        <v>0</v>
      </c>
      <c r="J154" s="30">
        <f t="shared" si="40"/>
        <v>0</v>
      </c>
      <c r="K154" s="30">
        <f t="shared" si="40"/>
        <v>0</v>
      </c>
      <c r="L154" s="30">
        <f t="shared" si="40"/>
        <v>0</v>
      </c>
      <c r="M154" s="31">
        <f t="shared" si="40"/>
        <v>0</v>
      </c>
      <c r="N154" s="30">
        <f t="shared" si="41"/>
        <v>0</v>
      </c>
      <c r="O154" s="30">
        <f t="shared" si="41"/>
        <v>0</v>
      </c>
      <c r="P154" s="30">
        <f t="shared" si="42"/>
        <v>0</v>
      </c>
      <c r="Q154" s="30">
        <f t="shared" si="42"/>
        <v>0</v>
      </c>
    </row>
    <row r="155" spans="1:17" x14ac:dyDescent="0.25">
      <c r="A155" s="1" t="s">
        <v>671</v>
      </c>
      <c r="C155" s="65"/>
      <c r="D155" s="29">
        <f t="shared" si="36"/>
        <v>0</v>
      </c>
      <c r="E155" s="141" t="str">
        <f t="shared" si="37"/>
        <v/>
      </c>
      <c r="F155" s="50">
        <f t="shared" si="38"/>
        <v>0</v>
      </c>
      <c r="G155" s="29">
        <f t="shared" si="39"/>
        <v>0</v>
      </c>
      <c r="H155" s="29">
        <f t="shared" si="39"/>
        <v>0</v>
      </c>
      <c r="I155" s="50">
        <f t="shared" si="39"/>
        <v>0</v>
      </c>
      <c r="J155" s="29">
        <f t="shared" si="40"/>
        <v>0</v>
      </c>
      <c r="K155" s="29">
        <f t="shared" si="40"/>
        <v>0</v>
      </c>
      <c r="L155" s="29">
        <f t="shared" si="40"/>
        <v>0</v>
      </c>
      <c r="M155" s="50">
        <f t="shared" si="40"/>
        <v>0</v>
      </c>
      <c r="N155" s="29">
        <f t="shared" si="41"/>
        <v>0</v>
      </c>
      <c r="O155" s="29">
        <f t="shared" si="41"/>
        <v>0</v>
      </c>
      <c r="P155" s="29">
        <f t="shared" si="42"/>
        <v>0</v>
      </c>
      <c r="Q155" s="29">
        <f t="shared" si="42"/>
        <v>0</v>
      </c>
    </row>
    <row r="156" spans="1:17" x14ac:dyDescent="0.25">
      <c r="A156" s="2" t="s">
        <v>675</v>
      </c>
      <c r="B156" s="67"/>
      <c r="C156" s="71"/>
      <c r="D156" s="30">
        <f t="shared" si="36"/>
        <v>0</v>
      </c>
      <c r="E156" s="142" t="str">
        <f t="shared" si="37"/>
        <v/>
      </c>
      <c r="F156" s="31">
        <f t="shared" si="38"/>
        <v>0</v>
      </c>
      <c r="G156" s="30">
        <f t="shared" si="39"/>
        <v>0</v>
      </c>
      <c r="H156" s="30">
        <f t="shared" si="39"/>
        <v>0</v>
      </c>
      <c r="I156" s="31">
        <f t="shared" si="39"/>
        <v>0</v>
      </c>
      <c r="J156" s="30">
        <f t="shared" si="40"/>
        <v>0</v>
      </c>
      <c r="K156" s="30">
        <f t="shared" si="40"/>
        <v>0</v>
      </c>
      <c r="L156" s="30">
        <f t="shared" si="40"/>
        <v>0</v>
      </c>
      <c r="M156" s="31">
        <f t="shared" si="40"/>
        <v>0</v>
      </c>
      <c r="N156" s="30">
        <f t="shared" si="41"/>
        <v>0</v>
      </c>
      <c r="O156" s="30">
        <f t="shared" si="41"/>
        <v>0</v>
      </c>
      <c r="P156" s="30">
        <f t="shared" si="42"/>
        <v>0</v>
      </c>
      <c r="Q156" s="30">
        <f t="shared" si="42"/>
        <v>0</v>
      </c>
    </row>
    <row r="157" spans="1:17" x14ac:dyDescent="0.25">
      <c r="A157" s="1" t="s">
        <v>676</v>
      </c>
      <c r="C157" s="65"/>
      <c r="D157" s="29">
        <f t="shared" si="36"/>
        <v>0</v>
      </c>
      <c r="E157" s="141" t="str">
        <f t="shared" si="37"/>
        <v/>
      </c>
      <c r="F157" s="50">
        <f t="shared" si="38"/>
        <v>0</v>
      </c>
      <c r="G157" s="29">
        <f t="shared" si="39"/>
        <v>0</v>
      </c>
      <c r="H157" s="29">
        <f t="shared" si="39"/>
        <v>0</v>
      </c>
      <c r="I157" s="50">
        <f t="shared" si="39"/>
        <v>0</v>
      </c>
      <c r="J157" s="29">
        <f t="shared" si="40"/>
        <v>0</v>
      </c>
      <c r="K157" s="29">
        <f t="shared" si="40"/>
        <v>0</v>
      </c>
      <c r="L157" s="29">
        <f t="shared" si="40"/>
        <v>0</v>
      </c>
      <c r="M157" s="50">
        <f t="shared" si="40"/>
        <v>0</v>
      </c>
      <c r="N157" s="29">
        <f t="shared" si="41"/>
        <v>0</v>
      </c>
      <c r="O157" s="29">
        <f t="shared" si="41"/>
        <v>0</v>
      </c>
      <c r="P157" s="29">
        <f t="shared" si="42"/>
        <v>0</v>
      </c>
      <c r="Q157" s="29">
        <f t="shared" si="42"/>
        <v>0</v>
      </c>
    </row>
    <row r="158" spans="1:17" x14ac:dyDescent="0.25">
      <c r="A158" s="2" t="s">
        <v>690</v>
      </c>
      <c r="B158" s="67"/>
      <c r="C158" s="71"/>
      <c r="D158" s="30">
        <f t="shared" si="36"/>
        <v>0</v>
      </c>
      <c r="E158" s="142" t="str">
        <f t="shared" si="37"/>
        <v/>
      </c>
      <c r="F158" s="31">
        <f t="shared" si="38"/>
        <v>0</v>
      </c>
      <c r="G158" s="30">
        <f t="shared" si="39"/>
        <v>0</v>
      </c>
      <c r="H158" s="30">
        <f t="shared" si="39"/>
        <v>0</v>
      </c>
      <c r="I158" s="31">
        <f t="shared" si="39"/>
        <v>0</v>
      </c>
      <c r="J158" s="30">
        <f t="shared" si="40"/>
        <v>0</v>
      </c>
      <c r="K158" s="30">
        <f t="shared" si="40"/>
        <v>0</v>
      </c>
      <c r="L158" s="30">
        <f t="shared" si="40"/>
        <v>0</v>
      </c>
      <c r="M158" s="31">
        <f t="shared" si="40"/>
        <v>0</v>
      </c>
      <c r="N158" s="30">
        <f t="shared" si="41"/>
        <v>0</v>
      </c>
      <c r="O158" s="30">
        <f t="shared" si="41"/>
        <v>0</v>
      </c>
      <c r="P158" s="30">
        <f t="shared" si="42"/>
        <v>0</v>
      </c>
      <c r="Q158" s="30">
        <f t="shared" si="42"/>
        <v>0</v>
      </c>
    </row>
    <row r="159" spans="1:17" x14ac:dyDescent="0.25">
      <c r="A159" s="1" t="s">
        <v>677</v>
      </c>
      <c r="C159" s="65"/>
      <c r="D159" s="29">
        <f t="shared" si="36"/>
        <v>0</v>
      </c>
      <c r="E159" s="141" t="str">
        <f t="shared" si="37"/>
        <v/>
      </c>
      <c r="F159" s="50">
        <f t="shared" si="38"/>
        <v>0</v>
      </c>
      <c r="G159" s="29">
        <f t="shared" si="39"/>
        <v>0</v>
      </c>
      <c r="H159" s="29">
        <f t="shared" si="39"/>
        <v>0</v>
      </c>
      <c r="I159" s="50">
        <f t="shared" si="39"/>
        <v>0</v>
      </c>
      <c r="J159" s="29">
        <f t="shared" si="40"/>
        <v>0</v>
      </c>
      <c r="K159" s="29">
        <f t="shared" si="40"/>
        <v>0</v>
      </c>
      <c r="L159" s="29">
        <f t="shared" si="40"/>
        <v>0</v>
      </c>
      <c r="M159" s="50">
        <f t="shared" si="40"/>
        <v>0</v>
      </c>
      <c r="N159" s="29">
        <f t="shared" si="41"/>
        <v>0</v>
      </c>
      <c r="O159" s="29">
        <f t="shared" si="41"/>
        <v>0</v>
      </c>
      <c r="P159" s="29">
        <f t="shared" si="42"/>
        <v>0</v>
      </c>
      <c r="Q159" s="29">
        <f t="shared" si="42"/>
        <v>0</v>
      </c>
    </row>
    <row r="160" spans="1:17" x14ac:dyDescent="0.25">
      <c r="A160" s="2" t="s">
        <v>691</v>
      </c>
      <c r="B160" s="67"/>
      <c r="C160" s="71"/>
      <c r="D160" s="30">
        <f t="shared" si="36"/>
        <v>0</v>
      </c>
      <c r="E160" s="142" t="str">
        <f t="shared" si="37"/>
        <v/>
      </c>
      <c r="F160" s="31">
        <f t="shared" si="38"/>
        <v>0</v>
      </c>
      <c r="G160" s="30">
        <f t="shared" si="39"/>
        <v>0</v>
      </c>
      <c r="H160" s="30">
        <f t="shared" si="39"/>
        <v>0</v>
      </c>
      <c r="I160" s="31">
        <f t="shared" si="39"/>
        <v>0</v>
      </c>
      <c r="J160" s="30">
        <f t="shared" si="40"/>
        <v>0</v>
      </c>
      <c r="K160" s="30">
        <f t="shared" si="40"/>
        <v>0</v>
      </c>
      <c r="L160" s="30">
        <f t="shared" si="40"/>
        <v>0</v>
      </c>
      <c r="M160" s="31">
        <f t="shared" si="40"/>
        <v>0</v>
      </c>
      <c r="N160" s="30">
        <f t="shared" si="41"/>
        <v>0</v>
      </c>
      <c r="O160" s="30">
        <f t="shared" si="41"/>
        <v>0</v>
      </c>
      <c r="P160" s="30">
        <f t="shared" si="42"/>
        <v>0</v>
      </c>
      <c r="Q160" s="30">
        <f t="shared" si="42"/>
        <v>0</v>
      </c>
    </row>
    <row r="161" spans="1:17" x14ac:dyDescent="0.25">
      <c r="A161" s="1" t="s">
        <v>678</v>
      </c>
      <c r="C161" s="65"/>
      <c r="D161" s="29">
        <f t="shared" si="36"/>
        <v>0</v>
      </c>
      <c r="E161" s="141" t="str">
        <f t="shared" si="37"/>
        <v/>
      </c>
      <c r="F161" s="50">
        <f t="shared" si="38"/>
        <v>0</v>
      </c>
      <c r="G161" s="29">
        <f t="shared" si="39"/>
        <v>0</v>
      </c>
      <c r="H161" s="29">
        <f t="shared" si="39"/>
        <v>0</v>
      </c>
      <c r="I161" s="50">
        <f t="shared" si="39"/>
        <v>0</v>
      </c>
      <c r="J161" s="29">
        <f t="shared" si="40"/>
        <v>0</v>
      </c>
      <c r="K161" s="29">
        <f t="shared" si="40"/>
        <v>0</v>
      </c>
      <c r="L161" s="29">
        <f t="shared" si="40"/>
        <v>0</v>
      </c>
      <c r="M161" s="50">
        <f t="shared" si="40"/>
        <v>0</v>
      </c>
      <c r="N161" s="29">
        <f t="shared" si="41"/>
        <v>0</v>
      </c>
      <c r="O161" s="29">
        <f t="shared" si="41"/>
        <v>0</v>
      </c>
      <c r="P161" s="29">
        <f t="shared" si="42"/>
        <v>0</v>
      </c>
      <c r="Q161" s="29">
        <f t="shared" si="42"/>
        <v>0</v>
      </c>
    </row>
    <row r="162" spans="1:17" x14ac:dyDescent="0.25">
      <c r="A162" s="75" t="s">
        <v>679</v>
      </c>
      <c r="B162" s="76"/>
      <c r="C162" s="77"/>
      <c r="D162" s="30">
        <f t="shared" si="36"/>
        <v>0</v>
      </c>
      <c r="E162" s="142" t="str">
        <f t="shared" si="37"/>
        <v/>
      </c>
      <c r="F162" s="68">
        <f t="shared" si="38"/>
        <v>0</v>
      </c>
      <c r="G162" s="30">
        <f t="shared" si="39"/>
        <v>0</v>
      </c>
      <c r="H162" s="30">
        <f t="shared" si="39"/>
        <v>0</v>
      </c>
      <c r="I162" s="68">
        <f t="shared" si="39"/>
        <v>0</v>
      </c>
      <c r="J162" s="30">
        <f t="shared" si="40"/>
        <v>0</v>
      </c>
      <c r="K162" s="30">
        <f t="shared" si="40"/>
        <v>0</v>
      </c>
      <c r="L162" s="30">
        <f t="shared" si="40"/>
        <v>0</v>
      </c>
      <c r="M162" s="68">
        <f t="shared" si="40"/>
        <v>0</v>
      </c>
      <c r="N162" s="30">
        <f t="shared" si="41"/>
        <v>0</v>
      </c>
      <c r="O162" s="30">
        <f t="shared" si="41"/>
        <v>0</v>
      </c>
      <c r="P162" s="30">
        <f t="shared" si="42"/>
        <v>0</v>
      </c>
      <c r="Q162" s="30">
        <f t="shared" si="42"/>
        <v>0</v>
      </c>
    </row>
    <row r="163" spans="1:17" x14ac:dyDescent="0.25">
      <c r="D163" s="70">
        <f>SUM(D147:D162)</f>
        <v>0</v>
      </c>
      <c r="E163" s="153" t="str">
        <f>IF(D163=0, "", SUMPRODUCT(D147:D162, E147:E162) / D163)</f>
        <v/>
      </c>
      <c r="F163" s="69">
        <f t="shared" ref="F163:Q163" si="43">SUM(F147:F162)</f>
        <v>0</v>
      </c>
      <c r="G163" s="70">
        <f t="shared" si="43"/>
        <v>0</v>
      </c>
      <c r="H163" s="69">
        <f>SUM(H147:H162)</f>
        <v>0</v>
      </c>
      <c r="I163" s="69">
        <f t="shared" si="43"/>
        <v>0</v>
      </c>
      <c r="J163" s="70">
        <f t="shared" si="43"/>
        <v>0</v>
      </c>
      <c r="K163" s="69">
        <f t="shared" si="43"/>
        <v>0</v>
      </c>
      <c r="L163" s="69">
        <f t="shared" si="43"/>
        <v>0</v>
      </c>
      <c r="M163" s="69">
        <f t="shared" si="43"/>
        <v>0</v>
      </c>
      <c r="N163" s="70">
        <f t="shared" si="43"/>
        <v>0</v>
      </c>
      <c r="O163" s="69">
        <f>SUM(O147:O162)</f>
        <v>0</v>
      </c>
      <c r="P163" s="69">
        <f t="shared" si="43"/>
        <v>0</v>
      </c>
      <c r="Q163" s="69">
        <f t="shared" si="43"/>
        <v>0</v>
      </c>
    </row>
    <row r="164" spans="1:17" x14ac:dyDescent="0.25">
      <c r="D164" s="98"/>
      <c r="E164" s="98"/>
      <c r="F164" s="98"/>
      <c r="G164" s="98"/>
      <c r="H164" s="98"/>
      <c r="I164" s="98"/>
      <c r="J164" s="98"/>
      <c r="K164" s="98"/>
      <c r="L164" s="98"/>
      <c r="M164" s="98"/>
      <c r="N164" s="98"/>
      <c r="O164" s="98"/>
      <c r="P164" s="98"/>
      <c r="Q164" s="98"/>
    </row>
    <row r="165" spans="1:17" x14ac:dyDescent="0.25">
      <c r="A165" s="182" t="str">
        <f>$B$8&amp;": Cases Closed, Alleged Other Rule Violations"</f>
        <v>Q4: Cases Closed, Alleged Other Rule Violations</v>
      </c>
      <c r="B165" s="182"/>
      <c r="C165" s="182"/>
      <c r="D165" s="182"/>
      <c r="E165" s="182"/>
      <c r="F165" s="182"/>
      <c r="G165" s="182"/>
      <c r="H165" s="182"/>
      <c r="I165" s="182"/>
      <c r="J165" s="182"/>
      <c r="K165" s="182"/>
      <c r="L165" s="182"/>
      <c r="M165" s="182"/>
      <c r="N165" s="182"/>
      <c r="O165" s="182"/>
      <c r="P165" s="182"/>
      <c r="Q165" s="182"/>
    </row>
    <row r="166" spans="1:17" x14ac:dyDescent="0.25">
      <c r="A166" s="182"/>
      <c r="B166" s="182"/>
      <c r="C166" s="182"/>
      <c r="D166" s="182"/>
      <c r="E166" s="182"/>
      <c r="F166" s="182"/>
      <c r="G166" s="182"/>
      <c r="H166" s="182"/>
      <c r="I166" s="182"/>
      <c r="J166" s="182"/>
      <c r="K166" s="182"/>
      <c r="L166" s="182"/>
      <c r="M166" s="182"/>
      <c r="N166" s="182"/>
      <c r="O166" s="182"/>
      <c r="P166" s="182"/>
      <c r="Q166" s="182"/>
    </row>
    <row r="167" spans="1:17" ht="21" customHeight="1" x14ac:dyDescent="0.25">
      <c r="A167" s="183" t="s">
        <v>737</v>
      </c>
      <c r="B167" s="183"/>
      <c r="C167" s="183"/>
      <c r="D167" s="183"/>
      <c r="E167" s="183"/>
      <c r="F167" s="183"/>
      <c r="G167" s="183"/>
      <c r="H167" s="183"/>
      <c r="I167" s="183"/>
      <c r="J167" s="183"/>
      <c r="K167" s="183"/>
      <c r="L167" s="183"/>
      <c r="M167" s="172" t="s">
        <v>33</v>
      </c>
      <c r="N167" s="172"/>
      <c r="O167" s="184" t="str">
        <f>'Start Here'!C$13</f>
        <v>Wharton Police Department</v>
      </c>
      <c r="P167" s="184"/>
      <c r="Q167" s="184"/>
    </row>
    <row r="168" spans="1:17" ht="36" customHeight="1" x14ac:dyDescent="0.25">
      <c r="C168" s="65"/>
      <c r="D168" s="200" t="s">
        <v>645</v>
      </c>
      <c r="E168" s="200"/>
      <c r="F168" s="199"/>
      <c r="G168" s="198" t="s">
        <v>635</v>
      </c>
      <c r="H168" s="200"/>
      <c r="I168" s="199"/>
      <c r="J168" s="198" t="s">
        <v>631</v>
      </c>
      <c r="K168" s="200"/>
      <c r="L168" s="200"/>
      <c r="M168" s="172" t="s">
        <v>34</v>
      </c>
      <c r="N168" s="172"/>
      <c r="O168" s="12">
        <f>'Start Here'!$C$16</f>
        <v>2023</v>
      </c>
    </row>
    <row r="169" spans="1:17" x14ac:dyDescent="0.25">
      <c r="D169" s="185" t="s">
        <v>25</v>
      </c>
      <c r="E169" s="175"/>
      <c r="F169" s="176"/>
      <c r="G169" s="185" t="s">
        <v>25</v>
      </c>
      <c r="H169" s="175"/>
      <c r="I169" s="176"/>
      <c r="J169" s="185" t="s">
        <v>25</v>
      </c>
      <c r="K169" s="175"/>
      <c r="L169" s="175"/>
    </row>
    <row r="170" spans="1:17" ht="15.75" customHeight="1" x14ac:dyDescent="0.25">
      <c r="A170" s="186" t="s">
        <v>733</v>
      </c>
      <c r="B170" s="186"/>
      <c r="C170" s="187"/>
      <c r="D170" s="52" t="s">
        <v>28</v>
      </c>
      <c r="E170" s="51" t="s">
        <v>27</v>
      </c>
      <c r="F170" s="51" t="s">
        <v>26</v>
      </c>
      <c r="G170" s="55" t="s">
        <v>28</v>
      </c>
      <c r="H170" s="56" t="s">
        <v>27</v>
      </c>
      <c r="I170" s="56" t="s">
        <v>26</v>
      </c>
      <c r="J170" s="52" t="s">
        <v>28</v>
      </c>
      <c r="K170" s="51" t="s">
        <v>27</v>
      </c>
      <c r="L170" s="51" t="s">
        <v>26</v>
      </c>
      <c r="N170" s="104"/>
      <c r="O170" s="104"/>
      <c r="P170" s="104"/>
      <c r="Q170" s="104"/>
    </row>
    <row r="171" spans="1:17" ht="15.75" thickBot="1" x14ac:dyDescent="0.3">
      <c r="A171" s="59" t="s">
        <v>659</v>
      </c>
      <c r="B171" s="73"/>
      <c r="C171" s="74"/>
      <c r="D171" s="29">
        <f t="shared" ref="D171:F186" si="44">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44"/>
        <v>0</v>
      </c>
      <c r="F171" s="64">
        <f t="shared" si="44"/>
        <v>0</v>
      </c>
      <c r="G171" s="141" t="str">
        <f t="shared" ref="G171:I186" si="45">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41" t="str">
        <f t="shared" si="45"/>
        <v/>
      </c>
      <c r="I171" s="154" t="str">
        <f t="shared" si="45"/>
        <v/>
      </c>
      <c r="J171" s="29">
        <f t="shared" ref="J171:L186" si="46">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46"/>
        <v>0</v>
      </c>
      <c r="L171" s="29">
        <f t="shared" si="46"/>
        <v>0</v>
      </c>
      <c r="N171" s="104"/>
      <c r="O171" s="104"/>
      <c r="P171" s="104"/>
      <c r="Q171" s="104"/>
    </row>
    <row r="172" spans="1:17" ht="15" customHeight="1" x14ac:dyDescent="0.25">
      <c r="A172" s="32" t="s">
        <v>649</v>
      </c>
      <c r="B172" s="67"/>
      <c r="C172" s="71"/>
      <c r="D172" s="30">
        <f t="shared" si="44"/>
        <v>0</v>
      </c>
      <c r="E172" s="30">
        <f t="shared" si="44"/>
        <v>0</v>
      </c>
      <c r="F172" s="31">
        <f t="shared" si="44"/>
        <v>0</v>
      </c>
      <c r="G172" s="142" t="str">
        <f t="shared" si="45"/>
        <v/>
      </c>
      <c r="H172" s="142" t="str">
        <f t="shared" si="45"/>
        <v/>
      </c>
      <c r="I172" s="155" t="str">
        <f t="shared" si="45"/>
        <v/>
      </c>
      <c r="J172" s="30">
        <f t="shared" si="46"/>
        <v>0</v>
      </c>
      <c r="K172" s="30">
        <f t="shared" si="46"/>
        <v>0</v>
      </c>
      <c r="L172" s="30">
        <f t="shared" si="46"/>
        <v>0</v>
      </c>
      <c r="N172" s="188" t="s">
        <v>724</v>
      </c>
      <c r="O172" s="189"/>
      <c r="P172" s="190"/>
    </row>
    <row r="173" spans="1:17" x14ac:dyDescent="0.25">
      <c r="A173" s="33" t="s">
        <v>650</v>
      </c>
      <c r="C173" s="65"/>
      <c r="D173" s="29">
        <f t="shared" si="44"/>
        <v>0</v>
      </c>
      <c r="E173" s="29">
        <f t="shared" si="44"/>
        <v>0</v>
      </c>
      <c r="F173" s="50">
        <f t="shared" si="44"/>
        <v>0</v>
      </c>
      <c r="G173" s="141" t="str">
        <f t="shared" si="45"/>
        <v/>
      </c>
      <c r="H173" s="141" t="str">
        <f t="shared" si="45"/>
        <v/>
      </c>
      <c r="I173" s="156" t="str">
        <f t="shared" si="45"/>
        <v/>
      </c>
      <c r="J173" s="29">
        <f t="shared" si="46"/>
        <v>0</v>
      </c>
      <c r="K173" s="29">
        <f t="shared" si="46"/>
        <v>0</v>
      </c>
      <c r="L173" s="29">
        <f t="shared" si="46"/>
        <v>0</v>
      </c>
      <c r="N173" s="191"/>
      <c r="O173" s="192"/>
      <c r="P173" s="193"/>
    </row>
    <row r="174" spans="1:17" x14ac:dyDescent="0.25">
      <c r="A174" s="32" t="s">
        <v>687</v>
      </c>
      <c r="B174" s="67"/>
      <c r="C174" s="71"/>
      <c r="D174" s="30">
        <f t="shared" si="44"/>
        <v>0</v>
      </c>
      <c r="E174" s="30">
        <f t="shared" si="44"/>
        <v>0</v>
      </c>
      <c r="F174" s="31">
        <f t="shared" si="44"/>
        <v>0</v>
      </c>
      <c r="G174" s="142" t="str">
        <f t="shared" si="45"/>
        <v/>
      </c>
      <c r="H174" s="142" t="str">
        <f t="shared" si="45"/>
        <v/>
      </c>
      <c r="I174" s="155" t="str">
        <f t="shared" si="45"/>
        <v/>
      </c>
      <c r="J174" s="30">
        <f t="shared" si="46"/>
        <v>0</v>
      </c>
      <c r="K174" s="30">
        <f t="shared" si="46"/>
        <v>0</v>
      </c>
      <c r="L174" s="30">
        <f t="shared" si="46"/>
        <v>0</v>
      </c>
      <c r="N174" s="191"/>
      <c r="O174" s="192"/>
      <c r="P174" s="193"/>
    </row>
    <row r="175" spans="1:17" x14ac:dyDescent="0.25">
      <c r="A175" s="33" t="s">
        <v>660</v>
      </c>
      <c r="C175" s="65"/>
      <c r="D175" s="29">
        <f t="shared" si="44"/>
        <v>0</v>
      </c>
      <c r="E175" s="29">
        <f t="shared" si="44"/>
        <v>0</v>
      </c>
      <c r="F175" s="50">
        <f t="shared" si="44"/>
        <v>0</v>
      </c>
      <c r="G175" s="141" t="str">
        <f t="shared" si="45"/>
        <v/>
      </c>
      <c r="H175" s="141" t="str">
        <f t="shared" si="45"/>
        <v/>
      </c>
      <c r="I175" s="156" t="str">
        <f t="shared" si="45"/>
        <v/>
      </c>
      <c r="J175" s="29">
        <f t="shared" si="46"/>
        <v>0</v>
      </c>
      <c r="K175" s="29">
        <f t="shared" si="46"/>
        <v>0</v>
      </c>
      <c r="L175" s="29">
        <f t="shared" si="46"/>
        <v>0</v>
      </c>
      <c r="N175" s="191"/>
      <c r="O175" s="192"/>
      <c r="P175" s="193"/>
    </row>
    <row r="176" spans="1:17" x14ac:dyDescent="0.25">
      <c r="A176" s="32" t="s">
        <v>688</v>
      </c>
      <c r="B176" s="67"/>
      <c r="C176" s="71"/>
      <c r="D176" s="30">
        <f t="shared" si="44"/>
        <v>0</v>
      </c>
      <c r="E176" s="30">
        <f t="shared" si="44"/>
        <v>0</v>
      </c>
      <c r="F176" s="31">
        <f t="shared" si="44"/>
        <v>0</v>
      </c>
      <c r="G176" s="142" t="str">
        <f t="shared" si="45"/>
        <v/>
      </c>
      <c r="H176" s="142" t="str">
        <f t="shared" si="45"/>
        <v/>
      </c>
      <c r="I176" s="155" t="str">
        <f t="shared" si="45"/>
        <v/>
      </c>
      <c r="J176" s="30">
        <f t="shared" si="46"/>
        <v>0</v>
      </c>
      <c r="K176" s="30">
        <f t="shared" si="46"/>
        <v>0</v>
      </c>
      <c r="L176" s="30">
        <f t="shared" si="46"/>
        <v>0</v>
      </c>
      <c r="N176" s="191"/>
      <c r="O176" s="192"/>
      <c r="P176" s="193"/>
    </row>
    <row r="177" spans="1:17" x14ac:dyDescent="0.25">
      <c r="A177" s="33" t="s">
        <v>689</v>
      </c>
      <c r="C177" s="65"/>
      <c r="D177" s="29">
        <f t="shared" si="44"/>
        <v>0</v>
      </c>
      <c r="E177" s="29">
        <f t="shared" si="44"/>
        <v>0</v>
      </c>
      <c r="F177" s="50">
        <f t="shared" si="44"/>
        <v>0</v>
      </c>
      <c r="G177" s="141" t="str">
        <f t="shared" si="45"/>
        <v/>
      </c>
      <c r="H177" s="141" t="str">
        <f t="shared" si="45"/>
        <v/>
      </c>
      <c r="I177" s="156" t="str">
        <f t="shared" si="45"/>
        <v/>
      </c>
      <c r="J177" s="29">
        <f t="shared" si="46"/>
        <v>0</v>
      </c>
      <c r="K177" s="29">
        <f t="shared" si="46"/>
        <v>0</v>
      </c>
      <c r="L177" s="29">
        <f t="shared" si="46"/>
        <v>0</v>
      </c>
      <c r="N177" s="191"/>
      <c r="O177" s="192"/>
      <c r="P177" s="193"/>
    </row>
    <row r="178" spans="1:17" x14ac:dyDescent="0.25">
      <c r="A178" s="32" t="s">
        <v>661</v>
      </c>
      <c r="B178" s="67"/>
      <c r="C178" s="71"/>
      <c r="D178" s="30">
        <f t="shared" si="44"/>
        <v>0</v>
      </c>
      <c r="E178" s="30">
        <f t="shared" si="44"/>
        <v>0</v>
      </c>
      <c r="F178" s="31">
        <f t="shared" si="44"/>
        <v>0</v>
      </c>
      <c r="G178" s="142" t="str">
        <f t="shared" si="45"/>
        <v/>
      </c>
      <c r="H178" s="142" t="str">
        <f t="shared" si="45"/>
        <v/>
      </c>
      <c r="I178" s="155" t="str">
        <f t="shared" si="45"/>
        <v/>
      </c>
      <c r="J178" s="30">
        <f t="shared" si="46"/>
        <v>0</v>
      </c>
      <c r="K178" s="30">
        <f t="shared" si="46"/>
        <v>0</v>
      </c>
      <c r="L178" s="30">
        <f t="shared" si="46"/>
        <v>0</v>
      </c>
      <c r="N178" s="191"/>
      <c r="O178" s="192"/>
      <c r="P178" s="193"/>
    </row>
    <row r="179" spans="1:17" x14ac:dyDescent="0.25">
      <c r="A179" s="33" t="s">
        <v>671</v>
      </c>
      <c r="C179" s="65"/>
      <c r="D179" s="29">
        <f t="shared" si="44"/>
        <v>0</v>
      </c>
      <c r="E179" s="29">
        <f t="shared" si="44"/>
        <v>0</v>
      </c>
      <c r="F179" s="50">
        <f t="shared" si="44"/>
        <v>0</v>
      </c>
      <c r="G179" s="141" t="str">
        <f t="shared" si="45"/>
        <v/>
      </c>
      <c r="H179" s="141" t="str">
        <f t="shared" si="45"/>
        <v/>
      </c>
      <c r="I179" s="156" t="str">
        <f t="shared" si="45"/>
        <v/>
      </c>
      <c r="J179" s="29">
        <f t="shared" si="46"/>
        <v>0</v>
      </c>
      <c r="K179" s="29">
        <f t="shared" si="46"/>
        <v>0</v>
      </c>
      <c r="L179" s="29">
        <f t="shared" si="46"/>
        <v>0</v>
      </c>
      <c r="N179" s="191"/>
      <c r="O179" s="192"/>
      <c r="P179" s="193"/>
    </row>
    <row r="180" spans="1:17" x14ac:dyDescent="0.25">
      <c r="A180" s="32" t="s">
        <v>675</v>
      </c>
      <c r="B180" s="67"/>
      <c r="C180" s="71"/>
      <c r="D180" s="30">
        <f t="shared" si="44"/>
        <v>0</v>
      </c>
      <c r="E180" s="30">
        <f t="shared" si="44"/>
        <v>0</v>
      </c>
      <c r="F180" s="31">
        <f t="shared" si="44"/>
        <v>0</v>
      </c>
      <c r="G180" s="142" t="str">
        <f t="shared" si="45"/>
        <v/>
      </c>
      <c r="H180" s="142" t="str">
        <f t="shared" si="45"/>
        <v/>
      </c>
      <c r="I180" s="155" t="str">
        <f t="shared" si="45"/>
        <v/>
      </c>
      <c r="J180" s="30">
        <f t="shared" si="46"/>
        <v>0</v>
      </c>
      <c r="K180" s="30">
        <f t="shared" si="46"/>
        <v>0</v>
      </c>
      <c r="L180" s="30">
        <f t="shared" si="46"/>
        <v>0</v>
      </c>
      <c r="N180" s="191"/>
      <c r="O180" s="192"/>
      <c r="P180" s="193"/>
    </row>
    <row r="181" spans="1:17" x14ac:dyDescent="0.25">
      <c r="A181" s="1" t="s">
        <v>676</v>
      </c>
      <c r="C181" s="65"/>
      <c r="D181" s="29">
        <f t="shared" si="44"/>
        <v>0</v>
      </c>
      <c r="E181" s="29">
        <f t="shared" si="44"/>
        <v>0</v>
      </c>
      <c r="F181" s="50">
        <f t="shared" si="44"/>
        <v>0</v>
      </c>
      <c r="G181" s="141" t="str">
        <f t="shared" si="45"/>
        <v/>
      </c>
      <c r="H181" s="141" t="str">
        <f t="shared" si="45"/>
        <v/>
      </c>
      <c r="I181" s="156" t="str">
        <f t="shared" si="45"/>
        <v/>
      </c>
      <c r="J181" s="29">
        <f t="shared" si="46"/>
        <v>0</v>
      </c>
      <c r="K181" s="29">
        <f t="shared" si="46"/>
        <v>0</v>
      </c>
      <c r="L181" s="29">
        <f t="shared" si="46"/>
        <v>0</v>
      </c>
      <c r="N181" s="191"/>
      <c r="O181" s="192"/>
      <c r="P181" s="193"/>
    </row>
    <row r="182" spans="1:17" x14ac:dyDescent="0.25">
      <c r="A182" s="2" t="s">
        <v>690</v>
      </c>
      <c r="B182" s="67"/>
      <c r="C182" s="71"/>
      <c r="D182" s="30">
        <f t="shared" si="44"/>
        <v>0</v>
      </c>
      <c r="E182" s="30">
        <f t="shared" si="44"/>
        <v>0</v>
      </c>
      <c r="F182" s="31">
        <f t="shared" si="44"/>
        <v>0</v>
      </c>
      <c r="G182" s="142" t="str">
        <f t="shared" si="45"/>
        <v/>
      </c>
      <c r="H182" s="142" t="str">
        <f t="shared" si="45"/>
        <v/>
      </c>
      <c r="I182" s="155" t="str">
        <f t="shared" si="45"/>
        <v/>
      </c>
      <c r="J182" s="30">
        <f t="shared" si="46"/>
        <v>0</v>
      </c>
      <c r="K182" s="30">
        <f t="shared" si="46"/>
        <v>0</v>
      </c>
      <c r="L182" s="30">
        <f t="shared" si="46"/>
        <v>0</v>
      </c>
      <c r="N182" s="191"/>
      <c r="O182" s="192"/>
      <c r="P182" s="193"/>
    </row>
    <row r="183" spans="1:17" x14ac:dyDescent="0.25">
      <c r="A183" s="1" t="s">
        <v>677</v>
      </c>
      <c r="C183" s="65"/>
      <c r="D183" s="29">
        <f t="shared" si="44"/>
        <v>0</v>
      </c>
      <c r="E183" s="29">
        <f t="shared" si="44"/>
        <v>0</v>
      </c>
      <c r="F183" s="50">
        <f t="shared" si="44"/>
        <v>0</v>
      </c>
      <c r="G183" s="141" t="str">
        <f t="shared" si="45"/>
        <v/>
      </c>
      <c r="H183" s="141" t="str">
        <f t="shared" si="45"/>
        <v/>
      </c>
      <c r="I183" s="156" t="str">
        <f t="shared" si="45"/>
        <v/>
      </c>
      <c r="J183" s="29">
        <f t="shared" si="46"/>
        <v>0</v>
      </c>
      <c r="K183" s="29">
        <f t="shared" si="46"/>
        <v>0</v>
      </c>
      <c r="L183" s="29">
        <f t="shared" si="46"/>
        <v>0</v>
      </c>
      <c r="N183" s="191"/>
      <c r="O183" s="192"/>
      <c r="P183" s="193"/>
    </row>
    <row r="184" spans="1:17" x14ac:dyDescent="0.25">
      <c r="A184" s="2" t="s">
        <v>691</v>
      </c>
      <c r="B184" s="67"/>
      <c r="C184" s="71"/>
      <c r="D184" s="30">
        <f t="shared" si="44"/>
        <v>0</v>
      </c>
      <c r="E184" s="30">
        <f t="shared" si="44"/>
        <v>0</v>
      </c>
      <c r="F184" s="31">
        <f t="shared" si="44"/>
        <v>0</v>
      </c>
      <c r="G184" s="142" t="str">
        <f t="shared" si="45"/>
        <v/>
      </c>
      <c r="H184" s="142" t="str">
        <f t="shared" si="45"/>
        <v/>
      </c>
      <c r="I184" s="155" t="str">
        <f t="shared" si="45"/>
        <v/>
      </c>
      <c r="J184" s="30">
        <f t="shared" si="46"/>
        <v>0</v>
      </c>
      <c r="K184" s="30">
        <f t="shared" si="46"/>
        <v>0</v>
      </c>
      <c r="L184" s="30">
        <f t="shared" si="46"/>
        <v>0</v>
      </c>
      <c r="N184" s="191"/>
      <c r="O184" s="192"/>
      <c r="P184" s="193"/>
    </row>
    <row r="185" spans="1:17" x14ac:dyDescent="0.25">
      <c r="A185" s="1" t="s">
        <v>678</v>
      </c>
      <c r="C185" s="65"/>
      <c r="D185" s="29">
        <f t="shared" si="44"/>
        <v>0</v>
      </c>
      <c r="E185" s="29">
        <f t="shared" si="44"/>
        <v>0</v>
      </c>
      <c r="F185" s="50">
        <f t="shared" si="44"/>
        <v>0</v>
      </c>
      <c r="G185" s="141" t="str">
        <f t="shared" si="45"/>
        <v/>
      </c>
      <c r="H185" s="141" t="str">
        <f t="shared" si="45"/>
        <v/>
      </c>
      <c r="I185" s="156" t="str">
        <f t="shared" si="45"/>
        <v/>
      </c>
      <c r="J185" s="29">
        <f t="shared" si="46"/>
        <v>0</v>
      </c>
      <c r="K185" s="29">
        <f t="shared" si="46"/>
        <v>0</v>
      </c>
      <c r="L185" s="29">
        <f t="shared" si="46"/>
        <v>0</v>
      </c>
      <c r="N185" s="191"/>
      <c r="O185" s="192"/>
      <c r="P185" s="193"/>
    </row>
    <row r="186" spans="1:17" ht="15.75" thickBot="1" x14ac:dyDescent="0.3">
      <c r="A186" s="2" t="s">
        <v>679</v>
      </c>
      <c r="B186" s="67"/>
      <c r="C186" s="71"/>
      <c r="D186" s="30">
        <f t="shared" si="44"/>
        <v>0</v>
      </c>
      <c r="E186" s="30">
        <f t="shared" si="44"/>
        <v>0</v>
      </c>
      <c r="F186" s="31">
        <f t="shared" si="44"/>
        <v>0</v>
      </c>
      <c r="G186" s="142" t="str">
        <f t="shared" si="45"/>
        <v/>
      </c>
      <c r="H186" s="142" t="str">
        <f t="shared" si="45"/>
        <v/>
      </c>
      <c r="I186" s="155" t="str">
        <f t="shared" si="45"/>
        <v/>
      </c>
      <c r="J186" s="30">
        <f t="shared" si="46"/>
        <v>0</v>
      </c>
      <c r="K186" s="30">
        <f t="shared" si="46"/>
        <v>0</v>
      </c>
      <c r="L186" s="30">
        <f t="shared" si="46"/>
        <v>0</v>
      </c>
      <c r="N186" s="194"/>
      <c r="O186" s="195"/>
      <c r="P186" s="196"/>
    </row>
    <row r="187" spans="1:17" x14ac:dyDescent="0.25">
      <c r="A187" s="73"/>
      <c r="B187" s="73"/>
      <c r="C187" s="74"/>
      <c r="D187" s="69">
        <f>SUM(D171:D186)</f>
        <v>0</v>
      </c>
      <c r="E187" s="69">
        <f t="shared" ref="E187:F187" si="47">SUM(E171:E186)</f>
        <v>0</v>
      </c>
      <c r="F187" s="83">
        <f t="shared" si="47"/>
        <v>0</v>
      </c>
      <c r="G187" s="153"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53"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5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69">
        <f t="shared" ref="J187:L187" si="48">SUM(J171:J186)</f>
        <v>0</v>
      </c>
      <c r="K187" s="69">
        <f t="shared" si="48"/>
        <v>0</v>
      </c>
      <c r="L187" s="69">
        <f t="shared" si="48"/>
        <v>0</v>
      </c>
      <c r="M187" s="33"/>
      <c r="N187" s="98"/>
      <c r="P187" s="98"/>
      <c r="Q187" s="98"/>
    </row>
    <row r="188" spans="1:17" x14ac:dyDescent="0.25">
      <c r="D188" s="98"/>
      <c r="E188" s="98"/>
      <c r="F188" s="98"/>
      <c r="G188" s="98"/>
      <c r="H188" s="98"/>
      <c r="I188" s="98"/>
      <c r="J188" s="98"/>
      <c r="K188" s="98"/>
      <c r="M188" s="33"/>
      <c r="N188" s="98"/>
      <c r="P188" s="98"/>
      <c r="Q188" s="98"/>
    </row>
    <row r="189" spans="1:17" ht="21" customHeight="1" x14ac:dyDescent="0.25">
      <c r="A189" s="197" t="s">
        <v>721</v>
      </c>
      <c r="B189" s="197"/>
      <c r="C189" s="197"/>
      <c r="D189" s="197"/>
      <c r="E189" s="197"/>
      <c r="F189" s="197"/>
      <c r="G189" s="197"/>
      <c r="H189" s="197"/>
      <c r="I189" s="197"/>
      <c r="J189" s="197"/>
      <c r="K189" s="197"/>
      <c r="L189" s="197"/>
      <c r="M189" s="140"/>
      <c r="N189" s="140"/>
      <c r="O189" s="140"/>
      <c r="Q189" s="98"/>
    </row>
    <row r="190" spans="1:17" ht="40.5" customHeight="1" x14ac:dyDescent="0.25">
      <c r="A190" s="140"/>
      <c r="B190" s="140"/>
      <c r="C190" s="105"/>
      <c r="D190" s="200" t="s">
        <v>722</v>
      </c>
      <c r="E190" s="199"/>
      <c r="F190" s="200" t="s">
        <v>732</v>
      </c>
      <c r="G190" s="200"/>
      <c r="H190" s="140"/>
      <c r="I190" s="140"/>
      <c r="J190" s="140"/>
      <c r="K190" s="140"/>
      <c r="L190" s="140"/>
      <c r="M190" s="140"/>
      <c r="N190" s="140"/>
      <c r="O190" s="140"/>
      <c r="Q190" s="98"/>
    </row>
    <row r="191" spans="1:17" ht="33" customHeight="1" x14ac:dyDescent="0.25">
      <c r="D191" s="177" t="s">
        <v>723</v>
      </c>
      <c r="E191" s="178"/>
      <c r="F191" s="177" t="s">
        <v>723</v>
      </c>
      <c r="G191" s="179"/>
      <c r="H191" s="101"/>
      <c r="Q191" s="98"/>
    </row>
    <row r="192" spans="1:17" ht="45" customHeight="1" x14ac:dyDescent="0.25">
      <c r="A192" s="180" t="s">
        <v>725</v>
      </c>
      <c r="B192" s="180"/>
      <c r="C192" s="181"/>
      <c r="D192" s="131" t="s">
        <v>24</v>
      </c>
      <c r="E192" s="135" t="s">
        <v>636</v>
      </c>
      <c r="F192" s="129" t="s">
        <v>24</v>
      </c>
      <c r="G192" s="129" t="s">
        <v>636</v>
      </c>
      <c r="H192" s="101"/>
      <c r="Q192" s="98"/>
    </row>
    <row r="193" spans="1:17" x14ac:dyDescent="0.25">
      <c r="A193" s="59" t="s">
        <v>659</v>
      </c>
      <c r="B193" s="59"/>
      <c r="C193" s="74"/>
      <c r="D193" s="111">
        <f t="shared" ref="D193:D208" si="49">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12">
        <f t="shared" ref="E193:E208" si="50">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149" t="str">
        <f t="shared" ref="F193:F208" si="51">IF($D193 = 0, "", (SUMIFS(PendingLengthOfCase, PendingMSO, "Other rule violation", PendingRuleViolation, $A193, PendingInternalDisposition, "Sustained", PendingCloseDate, "&gt;="&amp;$B$9, PendingCloseDate, "&lt;="&amp;$B$10) + SUMIFS(OpenedLengthOfCase, OpenedMSO, "Other rule violation", OpenedRuleViolation, $A193, OpenedInternalDisposition, "Sustained", OpenedCloseDate, "&gt;="&amp;$B$9, OpenedCloseDate, "&lt;="&amp;$B$10)) / ($D193))</f>
        <v/>
      </c>
      <c r="G193" s="149" t="str">
        <f t="shared" ref="G193:G208" si="52">IF($D193 = 0, "", (SUMIFS(PendingLengthOfCase, PendingMSO, "Other rule violation", PendingRuleViolation, $A193, PendingInternalDisposition, "&lt;&gt;Sustained", PendingCloseDate, "&gt;="&amp;$B$9, PendingCloseDate, "&lt;="&amp;$B$10) + SUMIFS(OpenedLengthOfCase, OpenedMSO, "Other rule violation", OpenedRuleViolation, $A193, OpenedInternalDisposition, "&lt;&gt;Sustained", OpenedCloseDate, "&gt;="&amp;$B$9, OpenedCloseDate, "&lt;="&amp;$B$10)) / ($D193))</f>
        <v/>
      </c>
      <c r="H193" s="98"/>
      <c r="Q193" s="98"/>
    </row>
    <row r="194" spans="1:17" x14ac:dyDescent="0.25">
      <c r="A194" s="32" t="s">
        <v>649</v>
      </c>
      <c r="B194" s="32"/>
      <c r="C194" s="71"/>
      <c r="D194" s="113">
        <f t="shared" si="49"/>
        <v>0</v>
      </c>
      <c r="E194" s="114">
        <f t="shared" si="50"/>
        <v>0</v>
      </c>
      <c r="F194" s="142" t="str">
        <f t="shared" si="51"/>
        <v/>
      </c>
      <c r="G194" s="142" t="str">
        <f t="shared" si="52"/>
        <v/>
      </c>
      <c r="H194" s="98"/>
      <c r="Q194" s="98"/>
    </row>
    <row r="195" spans="1:17" x14ac:dyDescent="0.25">
      <c r="A195" s="33" t="s">
        <v>650</v>
      </c>
      <c r="B195" s="33"/>
      <c r="C195" s="65"/>
      <c r="D195" s="115">
        <f t="shared" si="49"/>
        <v>0</v>
      </c>
      <c r="E195" s="116">
        <f t="shared" si="50"/>
        <v>0</v>
      </c>
      <c r="F195" s="141" t="str">
        <f t="shared" si="51"/>
        <v/>
      </c>
      <c r="G195" s="141" t="str">
        <f t="shared" si="52"/>
        <v/>
      </c>
      <c r="H195" s="98"/>
      <c r="Q195" s="98"/>
    </row>
    <row r="196" spans="1:17" x14ac:dyDescent="0.25">
      <c r="A196" s="32" t="s">
        <v>687</v>
      </c>
      <c r="B196" s="32"/>
      <c r="C196" s="71"/>
      <c r="D196" s="113">
        <f t="shared" si="49"/>
        <v>0</v>
      </c>
      <c r="E196" s="114">
        <f t="shared" si="50"/>
        <v>0</v>
      </c>
      <c r="F196" s="142" t="str">
        <f t="shared" si="51"/>
        <v/>
      </c>
      <c r="G196" s="142" t="str">
        <f t="shared" si="52"/>
        <v/>
      </c>
      <c r="H196" s="98"/>
      <c r="Q196" s="98"/>
    </row>
    <row r="197" spans="1:17" x14ac:dyDescent="0.25">
      <c r="A197" s="33" t="s">
        <v>660</v>
      </c>
      <c r="B197" s="33"/>
      <c r="C197" s="65"/>
      <c r="D197" s="115">
        <f t="shared" si="49"/>
        <v>0</v>
      </c>
      <c r="E197" s="116">
        <f t="shared" si="50"/>
        <v>0</v>
      </c>
      <c r="F197" s="141" t="str">
        <f t="shared" si="51"/>
        <v/>
      </c>
      <c r="G197" s="141" t="str">
        <f t="shared" si="52"/>
        <v/>
      </c>
      <c r="H197" s="98"/>
      <c r="Q197" s="98"/>
    </row>
    <row r="198" spans="1:17" x14ac:dyDescent="0.25">
      <c r="A198" s="32" t="s">
        <v>688</v>
      </c>
      <c r="B198" s="32"/>
      <c r="C198" s="71"/>
      <c r="D198" s="113">
        <f t="shared" si="49"/>
        <v>0</v>
      </c>
      <c r="E198" s="114">
        <f t="shared" si="50"/>
        <v>0</v>
      </c>
      <c r="F198" s="142" t="str">
        <f t="shared" si="51"/>
        <v/>
      </c>
      <c r="G198" s="142" t="str">
        <f t="shared" si="52"/>
        <v/>
      </c>
      <c r="H198" s="98"/>
      <c r="Q198" s="98"/>
    </row>
    <row r="199" spans="1:17" x14ac:dyDescent="0.25">
      <c r="A199" s="33" t="s">
        <v>689</v>
      </c>
      <c r="B199" s="33"/>
      <c r="C199" s="65"/>
      <c r="D199" s="115">
        <f t="shared" si="49"/>
        <v>0</v>
      </c>
      <c r="E199" s="116">
        <f t="shared" si="50"/>
        <v>0</v>
      </c>
      <c r="F199" s="141" t="str">
        <f t="shared" si="51"/>
        <v/>
      </c>
      <c r="G199" s="141" t="str">
        <f t="shared" si="52"/>
        <v/>
      </c>
      <c r="H199" s="98"/>
      <c r="Q199" s="98"/>
    </row>
    <row r="200" spans="1:17" x14ac:dyDescent="0.25">
      <c r="A200" s="32" t="s">
        <v>661</v>
      </c>
      <c r="B200" s="32"/>
      <c r="C200" s="71"/>
      <c r="D200" s="113">
        <f t="shared" si="49"/>
        <v>0</v>
      </c>
      <c r="E200" s="114">
        <f t="shared" si="50"/>
        <v>0</v>
      </c>
      <c r="F200" s="142" t="str">
        <f t="shared" si="51"/>
        <v/>
      </c>
      <c r="G200" s="142" t="str">
        <f t="shared" si="52"/>
        <v/>
      </c>
      <c r="H200" s="98"/>
      <c r="Q200" s="98"/>
    </row>
    <row r="201" spans="1:17" x14ac:dyDescent="0.25">
      <c r="A201" s="33" t="s">
        <v>671</v>
      </c>
      <c r="B201" s="33"/>
      <c r="C201" s="65"/>
      <c r="D201" s="115">
        <f t="shared" si="49"/>
        <v>0</v>
      </c>
      <c r="E201" s="116">
        <f t="shared" si="50"/>
        <v>0</v>
      </c>
      <c r="F201" s="141" t="str">
        <f t="shared" si="51"/>
        <v/>
      </c>
      <c r="G201" s="141" t="str">
        <f t="shared" si="52"/>
        <v/>
      </c>
      <c r="H201" s="98"/>
      <c r="Q201" s="98"/>
    </row>
    <row r="202" spans="1:17" x14ac:dyDescent="0.25">
      <c r="A202" s="32" t="s">
        <v>675</v>
      </c>
      <c r="B202" s="32"/>
      <c r="C202" s="71"/>
      <c r="D202" s="113">
        <f t="shared" si="49"/>
        <v>0</v>
      </c>
      <c r="E202" s="114">
        <f t="shared" si="50"/>
        <v>0</v>
      </c>
      <c r="F202" s="142" t="str">
        <f t="shared" si="51"/>
        <v/>
      </c>
      <c r="G202" s="142" t="str">
        <f t="shared" si="52"/>
        <v/>
      </c>
      <c r="H202" s="98"/>
      <c r="Q202" s="98"/>
    </row>
    <row r="203" spans="1:17" x14ac:dyDescent="0.25">
      <c r="A203" s="33" t="s">
        <v>676</v>
      </c>
      <c r="B203" s="98"/>
      <c r="C203" s="65"/>
      <c r="D203" s="115">
        <f t="shared" si="49"/>
        <v>0</v>
      </c>
      <c r="E203" s="116">
        <f t="shared" si="50"/>
        <v>0</v>
      </c>
      <c r="F203" s="141" t="str">
        <f t="shared" si="51"/>
        <v/>
      </c>
      <c r="G203" s="141" t="str">
        <f t="shared" si="52"/>
        <v/>
      </c>
      <c r="H203" s="98"/>
      <c r="Q203" s="98"/>
    </row>
    <row r="204" spans="1:17" x14ac:dyDescent="0.25">
      <c r="A204" s="32" t="s">
        <v>690</v>
      </c>
      <c r="B204" s="133"/>
      <c r="C204" s="71"/>
      <c r="D204" s="113">
        <f t="shared" si="49"/>
        <v>0</v>
      </c>
      <c r="E204" s="114">
        <f t="shared" si="50"/>
        <v>0</v>
      </c>
      <c r="F204" s="142" t="str">
        <f t="shared" si="51"/>
        <v/>
      </c>
      <c r="G204" s="142" t="str">
        <f t="shared" si="52"/>
        <v/>
      </c>
      <c r="H204" s="98"/>
      <c r="Q204" s="98"/>
    </row>
    <row r="205" spans="1:17" x14ac:dyDescent="0.25">
      <c r="A205" s="33" t="s">
        <v>677</v>
      </c>
      <c r="B205" s="98"/>
      <c r="C205" s="65"/>
      <c r="D205" s="115">
        <f t="shared" si="49"/>
        <v>0</v>
      </c>
      <c r="E205" s="116">
        <f t="shared" si="50"/>
        <v>0</v>
      </c>
      <c r="F205" s="141" t="str">
        <f t="shared" si="51"/>
        <v/>
      </c>
      <c r="G205" s="141" t="str">
        <f t="shared" si="52"/>
        <v/>
      </c>
      <c r="H205" s="98"/>
      <c r="Q205" s="98"/>
    </row>
    <row r="206" spans="1:17" x14ac:dyDescent="0.25">
      <c r="A206" s="32" t="s">
        <v>691</v>
      </c>
      <c r="B206" s="133"/>
      <c r="C206" s="71"/>
      <c r="D206" s="113">
        <f t="shared" si="49"/>
        <v>0</v>
      </c>
      <c r="E206" s="114">
        <f t="shared" si="50"/>
        <v>0</v>
      </c>
      <c r="F206" s="142" t="str">
        <f t="shared" si="51"/>
        <v/>
      </c>
      <c r="G206" s="142" t="str">
        <f t="shared" si="52"/>
        <v/>
      </c>
      <c r="H206" s="98"/>
      <c r="Q206" s="98"/>
    </row>
    <row r="207" spans="1:17" x14ac:dyDescent="0.25">
      <c r="A207" s="33" t="s">
        <v>678</v>
      </c>
      <c r="B207" s="98"/>
      <c r="C207" s="65"/>
      <c r="D207" s="115">
        <f t="shared" si="49"/>
        <v>0</v>
      </c>
      <c r="E207" s="116">
        <f t="shared" si="50"/>
        <v>0</v>
      </c>
      <c r="F207" s="141" t="str">
        <f t="shared" si="51"/>
        <v/>
      </c>
      <c r="G207" s="141" t="str">
        <f t="shared" si="52"/>
        <v/>
      </c>
      <c r="H207" s="98"/>
      <c r="Q207" s="98"/>
    </row>
    <row r="208" spans="1:17" x14ac:dyDescent="0.25">
      <c r="A208" s="32" t="s">
        <v>679</v>
      </c>
      <c r="B208" s="133"/>
      <c r="C208" s="71"/>
      <c r="D208" s="113">
        <f t="shared" si="49"/>
        <v>0</v>
      </c>
      <c r="E208" s="114">
        <f t="shared" si="50"/>
        <v>0</v>
      </c>
      <c r="F208" s="142" t="str">
        <f t="shared" si="51"/>
        <v/>
      </c>
      <c r="G208" s="142" t="str">
        <f t="shared" si="52"/>
        <v/>
      </c>
      <c r="H208" s="98"/>
      <c r="Q208" s="98"/>
    </row>
    <row r="209" spans="1:17" x14ac:dyDescent="0.25">
      <c r="A209" s="73"/>
      <c r="B209" s="73"/>
      <c r="C209" s="74"/>
      <c r="D209" s="117">
        <f>SUM(D193:D208)</f>
        <v>0</v>
      </c>
      <c r="E209" s="118">
        <f>SUM(E193:E208)</f>
        <v>0</v>
      </c>
      <c r="F209" s="153" t="str">
        <f>IF(D209 = 0, "", SUMPRODUCT(D193:D208, F193:F208) / D209)</f>
        <v/>
      </c>
      <c r="G209" s="153" t="str">
        <f>IF(E209 = 0, "", SUMPRODUCT(E193:E208, G193:G208) / E209)</f>
        <v/>
      </c>
      <c r="H209" s="98"/>
      <c r="Q209" s="98"/>
    </row>
    <row r="210" spans="1:17" x14ac:dyDescent="0.25">
      <c r="A210" s="182" t="str">
        <f>$B$8&amp;": Cases Opened and Closed, Alleged Criminal Violations"</f>
        <v>Q4: Cases Opened and Closed, Alleged Criminal Violations</v>
      </c>
      <c r="B210" s="182"/>
      <c r="C210" s="182"/>
      <c r="D210" s="182"/>
      <c r="E210" s="182"/>
      <c r="F210" s="182"/>
      <c r="G210" s="182"/>
      <c r="H210" s="182"/>
      <c r="I210" s="182"/>
      <c r="J210" s="182"/>
      <c r="K210" s="182"/>
      <c r="L210" s="182"/>
      <c r="M210" s="182"/>
      <c r="N210" s="182"/>
      <c r="O210" s="182"/>
      <c r="P210" s="182"/>
      <c r="Q210" s="182"/>
    </row>
    <row r="211" spans="1:17" x14ac:dyDescent="0.25">
      <c r="A211" s="182"/>
      <c r="B211" s="182"/>
      <c r="C211" s="182"/>
      <c r="D211" s="182"/>
      <c r="E211" s="182"/>
      <c r="F211" s="182"/>
      <c r="G211" s="182"/>
      <c r="H211" s="182"/>
      <c r="I211" s="182"/>
      <c r="J211" s="182"/>
      <c r="K211" s="182"/>
      <c r="L211" s="182"/>
      <c r="M211" s="182"/>
      <c r="N211" s="182"/>
      <c r="O211" s="182"/>
      <c r="P211" s="182"/>
      <c r="Q211" s="182"/>
    </row>
    <row r="212" spans="1:17" ht="21" x14ac:dyDescent="0.25">
      <c r="A212" s="183" t="s">
        <v>694</v>
      </c>
      <c r="B212" s="183"/>
      <c r="C212" s="183"/>
      <c r="D212" s="183"/>
      <c r="E212" s="183"/>
      <c r="F212" s="183"/>
      <c r="G212" s="183"/>
      <c r="H212" s="183"/>
      <c r="I212" s="183"/>
      <c r="J212" s="183"/>
      <c r="K212" s="183"/>
      <c r="L212" s="183"/>
      <c r="M212" s="183"/>
      <c r="N212" s="183"/>
      <c r="O212" s="183"/>
      <c r="P212" s="183"/>
      <c r="Q212" s="183"/>
    </row>
    <row r="213" spans="1:17" x14ac:dyDescent="0.25">
      <c r="D213" s="175" t="s">
        <v>25</v>
      </c>
      <c r="E213" s="175"/>
      <c r="F213" s="175"/>
      <c r="G213" s="175"/>
      <c r="H213" s="175"/>
      <c r="I213" s="175"/>
      <c r="J213" s="175"/>
      <c r="K213" s="175"/>
      <c r="L213" s="175"/>
      <c r="M213" s="172" t="s">
        <v>33</v>
      </c>
      <c r="N213" s="172"/>
      <c r="O213" s="184" t="str">
        <f>'Start Here'!C$13</f>
        <v>Wharton Police Department</v>
      </c>
      <c r="P213" s="184"/>
      <c r="Q213" s="184"/>
    </row>
    <row r="214" spans="1:17" ht="15" customHeight="1" x14ac:dyDescent="0.25">
      <c r="C214" s="203" t="s">
        <v>32</v>
      </c>
      <c r="D214" s="203"/>
      <c r="E214" s="204"/>
      <c r="F214" s="205" t="s">
        <v>624</v>
      </c>
      <c r="G214" s="203"/>
      <c r="H214" s="204"/>
      <c r="I214" s="206" t="s">
        <v>646</v>
      </c>
      <c r="J214" s="186"/>
      <c r="K214" s="186"/>
      <c r="M214" s="172" t="s">
        <v>34</v>
      </c>
      <c r="N214" s="172"/>
      <c r="O214" s="12">
        <f>'Start Here'!$C$16</f>
        <v>2023</v>
      </c>
    </row>
    <row r="215" spans="1:17" ht="16.5" customHeight="1" x14ac:dyDescent="0.25">
      <c r="A215" s="201" t="s">
        <v>738</v>
      </c>
      <c r="B215" s="201"/>
      <c r="C215" s="129" t="s">
        <v>28</v>
      </c>
      <c r="D215" s="51" t="s">
        <v>27</v>
      </c>
      <c r="E215" s="53" t="s">
        <v>26</v>
      </c>
      <c r="F215" s="52" t="s">
        <v>28</v>
      </c>
      <c r="G215" s="51" t="s">
        <v>27</v>
      </c>
      <c r="H215" s="53" t="s">
        <v>26</v>
      </c>
      <c r="I215" s="52" t="s">
        <v>28</v>
      </c>
      <c r="J215" s="51" t="s">
        <v>27</v>
      </c>
      <c r="K215" s="51" t="s">
        <v>26</v>
      </c>
    </row>
    <row r="216" spans="1:17" ht="15.75" thickBot="1" x14ac:dyDescent="0.3">
      <c r="A216" s="72" t="s">
        <v>751</v>
      </c>
      <c r="B216" s="74"/>
      <c r="C216" s="42">
        <f t="shared" ref="C216:E222" si="53">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53"/>
        <v>0</v>
      </c>
      <c r="E216" s="64">
        <f t="shared" si="53"/>
        <v>0</v>
      </c>
      <c r="F216" s="29">
        <f t="shared" ref="F216:H222" si="54">COUNTIFS(OpenedCriminalViolation, $A216, OpenedComplaintSource, E$57, OpenedComplaintReceived, "&gt;="&amp;$B$9, OpenedComplaintReceived,"&lt;="&amp;$B$10)</f>
        <v>0</v>
      </c>
      <c r="G216" s="29">
        <f t="shared" si="54"/>
        <v>0</v>
      </c>
      <c r="H216" s="64">
        <f t="shared" si="54"/>
        <v>0</v>
      </c>
      <c r="I216" s="141" t="str">
        <f t="shared" ref="I216:K222" si="55">IF(F216=0,"",(SUMIFS(OpenedNInitial,OpenedCriminalViolation,$A216,OpenedComplaintSource,H$57,OpenedComplaintReceived,"&gt;="&amp;$B$9,OpenedComplaintReceived,"&lt;="&amp;$B$10)/F216))</f>
        <v/>
      </c>
      <c r="J216" s="141" t="str">
        <f t="shared" si="55"/>
        <v/>
      </c>
      <c r="K216" s="141" t="str">
        <f t="shared" si="55"/>
        <v/>
      </c>
    </row>
    <row r="217" spans="1:17" ht="15" customHeight="1" x14ac:dyDescent="0.25">
      <c r="A217" s="2" t="s">
        <v>682</v>
      </c>
      <c r="B217" s="71"/>
      <c r="C217" s="30">
        <f t="shared" si="53"/>
        <v>0</v>
      </c>
      <c r="D217" s="30">
        <f t="shared" si="53"/>
        <v>0</v>
      </c>
      <c r="E217" s="31">
        <f t="shared" si="53"/>
        <v>0</v>
      </c>
      <c r="F217" s="30">
        <f t="shared" si="54"/>
        <v>0</v>
      </c>
      <c r="G217" s="30">
        <f t="shared" si="54"/>
        <v>0</v>
      </c>
      <c r="H217" s="31">
        <f t="shared" si="54"/>
        <v>0</v>
      </c>
      <c r="I217" s="142" t="str">
        <f t="shared" si="55"/>
        <v/>
      </c>
      <c r="J217" s="142" t="str">
        <f t="shared" si="55"/>
        <v/>
      </c>
      <c r="K217" s="142" t="str">
        <f t="shared" si="55"/>
        <v/>
      </c>
      <c r="N217" s="188" t="s">
        <v>726</v>
      </c>
      <c r="O217" s="189"/>
      <c r="P217" s="190"/>
    </row>
    <row r="218" spans="1:17" x14ac:dyDescent="0.25">
      <c r="A218" s="1" t="s">
        <v>683</v>
      </c>
      <c r="B218" s="65"/>
      <c r="C218" s="29">
        <f t="shared" si="53"/>
        <v>0</v>
      </c>
      <c r="D218" s="29">
        <f t="shared" si="53"/>
        <v>0</v>
      </c>
      <c r="E218" s="50">
        <f t="shared" si="53"/>
        <v>0</v>
      </c>
      <c r="F218" s="29">
        <f t="shared" si="54"/>
        <v>0</v>
      </c>
      <c r="G218" s="29">
        <f t="shared" si="54"/>
        <v>0</v>
      </c>
      <c r="H218" s="50">
        <f t="shared" si="54"/>
        <v>0</v>
      </c>
      <c r="I218" s="141" t="str">
        <f t="shared" si="55"/>
        <v/>
      </c>
      <c r="J218" s="141" t="str">
        <f t="shared" si="55"/>
        <v/>
      </c>
      <c r="K218" s="141" t="str">
        <f t="shared" si="55"/>
        <v/>
      </c>
      <c r="N218" s="191"/>
      <c r="O218" s="192"/>
      <c r="P218" s="193"/>
    </row>
    <row r="219" spans="1:17" x14ac:dyDescent="0.25">
      <c r="A219" s="2" t="s">
        <v>684</v>
      </c>
      <c r="B219" s="71"/>
      <c r="C219" s="30">
        <f t="shared" si="53"/>
        <v>0</v>
      </c>
      <c r="D219" s="30">
        <f t="shared" si="53"/>
        <v>0</v>
      </c>
      <c r="E219" s="31">
        <f t="shared" si="53"/>
        <v>0</v>
      </c>
      <c r="F219" s="30">
        <f t="shared" si="54"/>
        <v>0</v>
      </c>
      <c r="G219" s="30">
        <f t="shared" si="54"/>
        <v>0</v>
      </c>
      <c r="H219" s="31">
        <f t="shared" si="54"/>
        <v>0</v>
      </c>
      <c r="I219" s="142" t="str">
        <f t="shared" si="55"/>
        <v/>
      </c>
      <c r="J219" s="142" t="str">
        <f t="shared" si="55"/>
        <v/>
      </c>
      <c r="K219" s="142" t="str">
        <f t="shared" si="55"/>
        <v/>
      </c>
      <c r="N219" s="191"/>
      <c r="O219" s="192"/>
      <c r="P219" s="193"/>
    </row>
    <row r="220" spans="1:17" x14ac:dyDescent="0.25">
      <c r="A220" s="1" t="s">
        <v>648</v>
      </c>
      <c r="B220" s="65"/>
      <c r="C220" s="29">
        <f t="shared" si="53"/>
        <v>0</v>
      </c>
      <c r="D220" s="29">
        <f t="shared" si="53"/>
        <v>0</v>
      </c>
      <c r="E220" s="50">
        <f t="shared" si="53"/>
        <v>0</v>
      </c>
      <c r="F220" s="29">
        <f t="shared" si="54"/>
        <v>0</v>
      </c>
      <c r="G220" s="29">
        <f t="shared" si="54"/>
        <v>0</v>
      </c>
      <c r="H220" s="50">
        <f t="shared" si="54"/>
        <v>0</v>
      </c>
      <c r="I220" s="141" t="str">
        <f t="shared" si="55"/>
        <v/>
      </c>
      <c r="J220" s="141" t="str">
        <f t="shared" si="55"/>
        <v/>
      </c>
      <c r="K220" s="141" t="str">
        <f t="shared" si="55"/>
        <v/>
      </c>
      <c r="N220" s="191"/>
      <c r="O220" s="192"/>
      <c r="P220" s="193"/>
    </row>
    <row r="221" spans="1:17" x14ac:dyDescent="0.25">
      <c r="A221" s="2" t="s">
        <v>685</v>
      </c>
      <c r="B221" s="71"/>
      <c r="C221" s="30">
        <f t="shared" si="53"/>
        <v>0</v>
      </c>
      <c r="D221" s="30">
        <f t="shared" si="53"/>
        <v>0</v>
      </c>
      <c r="E221" s="31">
        <f t="shared" si="53"/>
        <v>0</v>
      </c>
      <c r="F221" s="30">
        <f t="shared" si="54"/>
        <v>0</v>
      </c>
      <c r="G221" s="30">
        <f t="shared" si="54"/>
        <v>0</v>
      </c>
      <c r="H221" s="31">
        <f t="shared" si="54"/>
        <v>0</v>
      </c>
      <c r="I221" s="142" t="str">
        <f t="shared" si="55"/>
        <v/>
      </c>
      <c r="J221" s="142" t="str">
        <f t="shared" si="55"/>
        <v/>
      </c>
      <c r="K221" s="142" t="str">
        <f t="shared" si="55"/>
        <v/>
      </c>
      <c r="N221" s="191"/>
      <c r="O221" s="192"/>
      <c r="P221" s="193"/>
    </row>
    <row r="222" spans="1:17" x14ac:dyDescent="0.25">
      <c r="A222" s="1" t="s">
        <v>686</v>
      </c>
      <c r="B222" s="66"/>
      <c r="C222" s="29">
        <f t="shared" si="53"/>
        <v>3</v>
      </c>
      <c r="D222" s="29">
        <f t="shared" si="53"/>
        <v>0</v>
      </c>
      <c r="E222" s="50">
        <f t="shared" si="53"/>
        <v>0</v>
      </c>
      <c r="F222" s="29">
        <f t="shared" si="54"/>
        <v>0</v>
      </c>
      <c r="G222" s="29">
        <f t="shared" si="54"/>
        <v>0</v>
      </c>
      <c r="H222" s="50">
        <f t="shared" si="54"/>
        <v>0</v>
      </c>
      <c r="I222" s="141" t="str">
        <f t="shared" si="55"/>
        <v/>
      </c>
      <c r="J222" s="141" t="str">
        <f t="shared" si="55"/>
        <v/>
      </c>
      <c r="K222" s="141" t="str">
        <f t="shared" si="55"/>
        <v/>
      </c>
      <c r="N222" s="191"/>
      <c r="O222" s="192"/>
      <c r="P222" s="193"/>
    </row>
    <row r="223" spans="1:17" ht="15.75" thickBot="1" x14ac:dyDescent="0.3">
      <c r="A223" s="73"/>
      <c r="B223" s="73"/>
      <c r="C223" s="70">
        <f t="shared" ref="C223:H223" si="56">SUM(C216:C222)</f>
        <v>3</v>
      </c>
      <c r="D223" s="69">
        <f t="shared" si="56"/>
        <v>0</v>
      </c>
      <c r="E223" s="69">
        <f t="shared" si="56"/>
        <v>0</v>
      </c>
      <c r="F223" s="70">
        <f t="shared" si="56"/>
        <v>0</v>
      </c>
      <c r="G223" s="69">
        <f t="shared" si="56"/>
        <v>0</v>
      </c>
      <c r="H223" s="69">
        <f t="shared" si="56"/>
        <v>0</v>
      </c>
      <c r="I223" s="158" t="str">
        <f>IF(F223=0,"",(SUMIFS(OpenedNInitial,OpenedComplaintSource,H$57,OpenedComplaintReceived,"&gt;="&amp;$B$9,OpenedComplaintReceived,"&lt;="&amp;$B$10)/F223))</f>
        <v/>
      </c>
      <c r="J223" s="153" t="str">
        <f>IF(G223=0,"",(SUMIFS(OpenedNInitial,OpenedComplaintSource,I$57,OpenedComplaintReceived,"&gt;="&amp;$B$9,OpenedComplaintReceived,"&lt;="&amp;$B$10)/G223))</f>
        <v/>
      </c>
      <c r="K223" s="153" t="str">
        <f>IF(H223=0,"",(SUMIFS(OpenedNInitial,OpenedComplaintSource,J$57,OpenedComplaintReceived,"&gt;="&amp;$B$9,OpenedComplaintReceived,"&lt;="&amp;$B$10)/H223))</f>
        <v/>
      </c>
      <c r="N223" s="194"/>
      <c r="O223" s="195"/>
      <c r="P223" s="196"/>
    </row>
    <row r="224" spans="1:17" x14ac:dyDescent="0.25">
      <c r="O224" s="98"/>
      <c r="P224" s="98"/>
      <c r="Q224" s="98"/>
    </row>
    <row r="225" spans="1:17" ht="21" x14ac:dyDescent="0.25">
      <c r="A225" s="183" t="s">
        <v>695</v>
      </c>
      <c r="B225" s="183"/>
      <c r="C225" s="183"/>
      <c r="D225" s="183"/>
      <c r="E225" s="183"/>
      <c r="F225" s="183"/>
      <c r="G225" s="183"/>
      <c r="H225" s="183"/>
      <c r="I225" s="183"/>
      <c r="J225" s="183"/>
      <c r="K225" s="183"/>
      <c r="L225" s="183"/>
      <c r="M225" s="183"/>
      <c r="N225" s="183"/>
      <c r="O225" s="183"/>
      <c r="P225" s="183"/>
      <c r="Q225" s="183"/>
    </row>
    <row r="226" spans="1:17" x14ac:dyDescent="0.25">
      <c r="C226" s="185" t="s">
        <v>634</v>
      </c>
      <c r="D226" s="175"/>
      <c r="E226" s="176"/>
      <c r="F226" s="185" t="s">
        <v>25</v>
      </c>
      <c r="G226" s="175"/>
      <c r="H226" s="176"/>
      <c r="I226" s="185" t="s">
        <v>614</v>
      </c>
      <c r="J226" s="175"/>
      <c r="K226" s="175"/>
      <c r="L226" s="176"/>
      <c r="M226" s="185" t="s">
        <v>605</v>
      </c>
      <c r="N226" s="175"/>
      <c r="O226" s="175"/>
      <c r="P226" s="175"/>
    </row>
    <row r="227" spans="1:17" ht="32.25" customHeight="1" x14ac:dyDescent="0.25">
      <c r="A227" s="201" t="s">
        <v>738</v>
      </c>
      <c r="B227" s="202"/>
      <c r="C227" s="48" t="s">
        <v>642</v>
      </c>
      <c r="D227" s="51" t="s">
        <v>731</v>
      </c>
      <c r="E227" s="51" t="s">
        <v>633</v>
      </c>
      <c r="F227" s="52" t="s">
        <v>28</v>
      </c>
      <c r="G227" s="51" t="s">
        <v>27</v>
      </c>
      <c r="H227" s="51" t="s">
        <v>26</v>
      </c>
      <c r="I227" s="52" t="s">
        <v>12</v>
      </c>
      <c r="J227" s="51" t="s">
        <v>13</v>
      </c>
      <c r="K227" s="51" t="s">
        <v>14</v>
      </c>
      <c r="L227" s="54" t="s">
        <v>15</v>
      </c>
      <c r="M227" s="52" t="s">
        <v>16</v>
      </c>
      <c r="N227" s="51" t="s">
        <v>17</v>
      </c>
      <c r="O227" s="51" t="s">
        <v>18</v>
      </c>
      <c r="P227" s="51" t="s">
        <v>19</v>
      </c>
    </row>
    <row r="228" spans="1:17" x14ac:dyDescent="0.25">
      <c r="A228" s="72" t="s">
        <v>751</v>
      </c>
      <c r="B228" s="74"/>
      <c r="C228" s="149">
        <f t="shared" ref="C228:C234" si="57">COUNTIFS(PendingCriminalViolation,$A228,PendingStatus,"Closed",PendingCloseDate,"&gt;="&amp;$B$9,PendingCloseDate,"&lt;="&amp;$B$10) + COUNTIFS(OpenedCriminalViolation,$A228,OpenedStatus,"Closed",OpenedCloseDate,"&gt;="&amp;$B$9,OpenedCloseDate,"&lt;="&amp;$B$10)</f>
        <v>0</v>
      </c>
      <c r="D228" s="141" t="str">
        <f t="shared" ref="D228:D234" si="58">IF(C228=0, "", (SUMIFS(PendingLengthOfCase,PendingStatus,"Closed",PendingCriminalViolation,$A228,PendingCloseDate,"&gt;="&amp;$B$9,PendingCloseDate,"&lt;="&amp;$B$10) + SUMIFS(OpenedLengthOfCase,OpenedStatus,"Closed",OpenedCriminalViolation,$A228,OpenedCloseDate,"&gt;="&amp;$B$9,OpenedCloseDate,"&lt;="&amp;$B$10)) / C228)</f>
        <v/>
      </c>
      <c r="E228" s="154">
        <f t="shared" ref="E228:E234" si="59">COUNTIFS(PendingCriminalViolation,$A228,PendingCloseDate,"&gt;="&amp;$B$9,PendingCloseDate,"&lt;="&amp;$B$10, PendingAppealPending, "Yes") + COUNTIFS(OpenedCriminalViolation,$A228,OpenedCloseDate,"&gt;="&amp;$B$9,OpenedCloseDate,"&lt;="&amp;$B$10, OpenedAppealPending, "Yes")</f>
        <v>0</v>
      </c>
      <c r="F228" s="29">
        <f t="shared" ref="F228:H234" si="60">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60"/>
        <v>0</v>
      </c>
      <c r="H228" s="64">
        <f t="shared" si="60"/>
        <v>0</v>
      </c>
      <c r="I228" s="42">
        <f t="shared" ref="I228:L234" si="61">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61"/>
        <v>0</v>
      </c>
      <c r="K228" s="42">
        <f t="shared" si="61"/>
        <v>0</v>
      </c>
      <c r="L228" s="64">
        <f t="shared" si="61"/>
        <v>0</v>
      </c>
      <c r="M228" s="29">
        <f t="shared" ref="M228:N234" si="62">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62"/>
        <v>0</v>
      </c>
      <c r="O228" s="29">
        <f t="shared" ref="O228:P234" si="63">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63"/>
        <v>0</v>
      </c>
    </row>
    <row r="229" spans="1:17" x14ac:dyDescent="0.25">
      <c r="A229" s="2" t="s">
        <v>682</v>
      </c>
      <c r="B229" s="71"/>
      <c r="C229" s="142">
        <f t="shared" si="57"/>
        <v>0</v>
      </c>
      <c r="D229" s="142" t="str">
        <f t="shared" si="58"/>
        <v/>
      </c>
      <c r="E229" s="155">
        <f t="shared" si="59"/>
        <v>0</v>
      </c>
      <c r="F229" s="30">
        <f t="shared" si="60"/>
        <v>0</v>
      </c>
      <c r="G229" s="30">
        <f t="shared" si="60"/>
        <v>0</v>
      </c>
      <c r="H229" s="31">
        <f t="shared" si="60"/>
        <v>0</v>
      </c>
      <c r="I229" s="30">
        <f t="shared" si="61"/>
        <v>0</v>
      </c>
      <c r="J229" s="30">
        <f t="shared" si="61"/>
        <v>0</v>
      </c>
      <c r="K229" s="30">
        <f t="shared" si="61"/>
        <v>0</v>
      </c>
      <c r="L229" s="31">
        <f t="shared" si="61"/>
        <v>0</v>
      </c>
      <c r="M229" s="30">
        <f t="shared" si="62"/>
        <v>0</v>
      </c>
      <c r="N229" s="30">
        <f t="shared" si="62"/>
        <v>0</v>
      </c>
      <c r="O229" s="30">
        <f t="shared" si="63"/>
        <v>0</v>
      </c>
      <c r="P229" s="30">
        <f t="shared" si="63"/>
        <v>0</v>
      </c>
    </row>
    <row r="230" spans="1:17" x14ac:dyDescent="0.25">
      <c r="A230" s="1" t="s">
        <v>683</v>
      </c>
      <c r="B230" s="65"/>
      <c r="C230" s="141">
        <f t="shared" si="57"/>
        <v>0</v>
      </c>
      <c r="D230" s="141" t="str">
        <f t="shared" si="58"/>
        <v/>
      </c>
      <c r="E230" s="156">
        <f t="shared" si="59"/>
        <v>0</v>
      </c>
      <c r="F230" s="29">
        <f t="shared" si="60"/>
        <v>0</v>
      </c>
      <c r="G230" s="29">
        <f t="shared" si="60"/>
        <v>0</v>
      </c>
      <c r="H230" s="50">
        <f t="shared" si="60"/>
        <v>0</v>
      </c>
      <c r="I230" s="29">
        <f t="shared" si="61"/>
        <v>0</v>
      </c>
      <c r="J230" s="29">
        <f t="shared" si="61"/>
        <v>0</v>
      </c>
      <c r="K230" s="29">
        <f t="shared" si="61"/>
        <v>0</v>
      </c>
      <c r="L230" s="50">
        <f t="shared" si="61"/>
        <v>0</v>
      </c>
      <c r="M230" s="29">
        <f t="shared" si="62"/>
        <v>0</v>
      </c>
      <c r="N230" s="29">
        <f t="shared" si="62"/>
        <v>0</v>
      </c>
      <c r="O230" s="29">
        <f t="shared" si="63"/>
        <v>0</v>
      </c>
      <c r="P230" s="29">
        <f t="shared" si="63"/>
        <v>0</v>
      </c>
    </row>
    <row r="231" spans="1:17" x14ac:dyDescent="0.25">
      <c r="A231" s="2" t="s">
        <v>684</v>
      </c>
      <c r="B231" s="71"/>
      <c r="C231" s="142">
        <f t="shared" si="57"/>
        <v>0</v>
      </c>
      <c r="D231" s="142" t="str">
        <f t="shared" si="58"/>
        <v/>
      </c>
      <c r="E231" s="155">
        <f t="shared" si="59"/>
        <v>0</v>
      </c>
      <c r="F231" s="30">
        <f t="shared" si="60"/>
        <v>0</v>
      </c>
      <c r="G231" s="30">
        <f t="shared" si="60"/>
        <v>0</v>
      </c>
      <c r="H231" s="31">
        <f t="shared" si="60"/>
        <v>0</v>
      </c>
      <c r="I231" s="30">
        <f t="shared" si="61"/>
        <v>0</v>
      </c>
      <c r="J231" s="30">
        <f t="shared" si="61"/>
        <v>0</v>
      </c>
      <c r="K231" s="30">
        <f t="shared" si="61"/>
        <v>0</v>
      </c>
      <c r="L231" s="31">
        <f t="shared" si="61"/>
        <v>0</v>
      </c>
      <c r="M231" s="30">
        <f t="shared" si="62"/>
        <v>0</v>
      </c>
      <c r="N231" s="30">
        <f t="shared" si="62"/>
        <v>0</v>
      </c>
      <c r="O231" s="30">
        <f t="shared" si="63"/>
        <v>0</v>
      </c>
      <c r="P231" s="30">
        <f t="shared" si="63"/>
        <v>0</v>
      </c>
    </row>
    <row r="232" spans="1:17" x14ac:dyDescent="0.25">
      <c r="A232" s="1" t="s">
        <v>648</v>
      </c>
      <c r="B232" s="65"/>
      <c r="C232" s="141">
        <f t="shared" si="57"/>
        <v>0</v>
      </c>
      <c r="D232" s="141" t="str">
        <f t="shared" si="58"/>
        <v/>
      </c>
      <c r="E232" s="156">
        <f t="shared" si="59"/>
        <v>0</v>
      </c>
      <c r="F232" s="29">
        <f t="shared" si="60"/>
        <v>0</v>
      </c>
      <c r="G232" s="29">
        <f t="shared" si="60"/>
        <v>0</v>
      </c>
      <c r="H232" s="50">
        <f t="shared" si="60"/>
        <v>0</v>
      </c>
      <c r="I232" s="29">
        <f t="shared" si="61"/>
        <v>0</v>
      </c>
      <c r="J232" s="29">
        <f t="shared" si="61"/>
        <v>0</v>
      </c>
      <c r="K232" s="29">
        <f t="shared" si="61"/>
        <v>0</v>
      </c>
      <c r="L232" s="50">
        <f t="shared" si="61"/>
        <v>0</v>
      </c>
      <c r="M232" s="29">
        <f t="shared" si="62"/>
        <v>0</v>
      </c>
      <c r="N232" s="29">
        <f t="shared" si="62"/>
        <v>0</v>
      </c>
      <c r="O232" s="29">
        <f t="shared" si="63"/>
        <v>0</v>
      </c>
      <c r="P232" s="29">
        <f t="shared" si="63"/>
        <v>0</v>
      </c>
    </row>
    <row r="233" spans="1:17" x14ac:dyDescent="0.25">
      <c r="A233" s="2" t="s">
        <v>685</v>
      </c>
      <c r="B233" s="71"/>
      <c r="C233" s="142">
        <f t="shared" si="57"/>
        <v>0</v>
      </c>
      <c r="D233" s="142" t="str">
        <f t="shared" si="58"/>
        <v/>
      </c>
      <c r="E233" s="155">
        <f t="shared" si="59"/>
        <v>0</v>
      </c>
      <c r="F233" s="30">
        <f t="shared" si="60"/>
        <v>0</v>
      </c>
      <c r="G233" s="30">
        <f t="shared" si="60"/>
        <v>0</v>
      </c>
      <c r="H233" s="31">
        <f t="shared" si="60"/>
        <v>0</v>
      </c>
      <c r="I233" s="30">
        <f t="shared" si="61"/>
        <v>0</v>
      </c>
      <c r="J233" s="30">
        <f t="shared" si="61"/>
        <v>0</v>
      </c>
      <c r="K233" s="30">
        <f t="shared" si="61"/>
        <v>0</v>
      </c>
      <c r="L233" s="31">
        <f t="shared" si="61"/>
        <v>0</v>
      </c>
      <c r="M233" s="30">
        <f t="shared" si="62"/>
        <v>0</v>
      </c>
      <c r="N233" s="30">
        <f t="shared" si="62"/>
        <v>0</v>
      </c>
      <c r="O233" s="30">
        <f t="shared" si="63"/>
        <v>0</v>
      </c>
      <c r="P233" s="30">
        <f t="shared" si="63"/>
        <v>0</v>
      </c>
    </row>
    <row r="234" spans="1:17" x14ac:dyDescent="0.25">
      <c r="A234" s="1" t="s">
        <v>686</v>
      </c>
      <c r="B234" s="66"/>
      <c r="C234" s="141">
        <f t="shared" si="57"/>
        <v>0</v>
      </c>
      <c r="D234" s="141" t="str">
        <f t="shared" si="58"/>
        <v/>
      </c>
      <c r="E234" s="156">
        <f t="shared" si="59"/>
        <v>0</v>
      </c>
      <c r="F234" s="29">
        <f t="shared" si="60"/>
        <v>0</v>
      </c>
      <c r="G234" s="29">
        <f t="shared" si="60"/>
        <v>0</v>
      </c>
      <c r="H234" s="50">
        <f t="shared" si="60"/>
        <v>0</v>
      </c>
      <c r="I234" s="29">
        <f t="shared" si="61"/>
        <v>0</v>
      </c>
      <c r="J234" s="29">
        <f t="shared" si="61"/>
        <v>0</v>
      </c>
      <c r="K234" s="29">
        <f t="shared" si="61"/>
        <v>0</v>
      </c>
      <c r="L234" s="50">
        <f t="shared" si="61"/>
        <v>0</v>
      </c>
      <c r="M234" s="29">
        <f t="shared" si="62"/>
        <v>0</v>
      </c>
      <c r="N234" s="29">
        <f t="shared" si="62"/>
        <v>0</v>
      </c>
      <c r="O234" s="29">
        <f t="shared" si="63"/>
        <v>0</v>
      </c>
      <c r="P234" s="29">
        <f t="shared" si="63"/>
        <v>0</v>
      </c>
    </row>
    <row r="235" spans="1:17" x14ac:dyDescent="0.25">
      <c r="A235" s="73"/>
      <c r="B235" s="73"/>
      <c r="C235" s="158">
        <f>SUM(C228:C234)</f>
        <v>0</v>
      </c>
      <c r="D235" s="153" t="str">
        <f>IF(C235=0, "", SUMPRODUCT(C228:C234,D228:D234) / C235)</f>
        <v/>
      </c>
      <c r="E235" s="153">
        <f t="shared" ref="E235:P235" si="64">SUM(E228:E234)</f>
        <v>0</v>
      </c>
      <c r="F235" s="70">
        <f t="shared" si="64"/>
        <v>0</v>
      </c>
      <c r="G235" s="69">
        <f t="shared" si="64"/>
        <v>0</v>
      </c>
      <c r="H235" s="69">
        <f t="shared" si="64"/>
        <v>0</v>
      </c>
      <c r="I235" s="70">
        <f t="shared" si="64"/>
        <v>0</v>
      </c>
      <c r="J235" s="69">
        <f t="shared" si="64"/>
        <v>0</v>
      </c>
      <c r="K235" s="69">
        <f t="shared" si="64"/>
        <v>0</v>
      </c>
      <c r="L235" s="69">
        <f t="shared" si="64"/>
        <v>0</v>
      </c>
      <c r="M235" s="70">
        <f t="shared" si="64"/>
        <v>0</v>
      </c>
      <c r="N235" s="69">
        <f t="shared" si="64"/>
        <v>0</v>
      </c>
      <c r="O235" s="69">
        <f t="shared" si="64"/>
        <v>0</v>
      </c>
      <c r="P235" s="69">
        <f t="shared" si="64"/>
        <v>0</v>
      </c>
    </row>
    <row r="237" spans="1:17" x14ac:dyDescent="0.25">
      <c r="A237" s="182" t="str">
        <f>$B$8&amp;": Cases Closed, Alleged Criminal Violations"</f>
        <v>Q4: Cases Closed, Alleged Criminal Violations</v>
      </c>
      <c r="B237" s="182"/>
      <c r="C237" s="182"/>
      <c r="D237" s="182"/>
      <c r="E237" s="182"/>
      <c r="F237" s="182"/>
      <c r="G237" s="182"/>
      <c r="H237" s="182"/>
      <c r="I237" s="182"/>
      <c r="J237" s="182"/>
      <c r="K237" s="182"/>
      <c r="L237" s="182"/>
      <c r="M237" s="182"/>
      <c r="N237" s="182"/>
      <c r="O237" s="182"/>
      <c r="P237" s="182"/>
      <c r="Q237" s="182"/>
    </row>
    <row r="238" spans="1:17" x14ac:dyDescent="0.25">
      <c r="A238" s="182"/>
      <c r="B238" s="182"/>
      <c r="C238" s="182"/>
      <c r="D238" s="182"/>
      <c r="E238" s="182"/>
      <c r="F238" s="182"/>
      <c r="G238" s="182"/>
      <c r="H238" s="182"/>
      <c r="I238" s="182"/>
      <c r="J238" s="182"/>
      <c r="K238" s="182"/>
      <c r="L238" s="182"/>
      <c r="M238" s="182"/>
      <c r="N238" s="182"/>
      <c r="O238" s="182"/>
      <c r="P238" s="182"/>
      <c r="Q238" s="182"/>
    </row>
    <row r="239" spans="1:17" ht="21" x14ac:dyDescent="0.25">
      <c r="A239" s="183" t="s">
        <v>704</v>
      </c>
      <c r="B239" s="183"/>
      <c r="C239" s="183"/>
      <c r="D239" s="183"/>
      <c r="E239" s="183"/>
      <c r="F239" s="183"/>
      <c r="G239" s="183"/>
      <c r="H239" s="183"/>
      <c r="I239" s="183"/>
      <c r="J239" s="183"/>
      <c r="K239" s="183"/>
      <c r="L239" s="183"/>
      <c r="M239" s="172" t="s">
        <v>33</v>
      </c>
      <c r="N239" s="172"/>
      <c r="O239" s="184" t="str">
        <f>'Start Here'!C$13</f>
        <v>Wharton Police Department</v>
      </c>
      <c r="P239" s="184"/>
      <c r="Q239" s="184"/>
    </row>
    <row r="240" spans="1:17" ht="43.15" customHeight="1" x14ac:dyDescent="0.25">
      <c r="C240" s="65"/>
      <c r="D240" s="200" t="s">
        <v>645</v>
      </c>
      <c r="E240" s="200"/>
      <c r="F240" s="199"/>
      <c r="G240" s="198" t="s">
        <v>635</v>
      </c>
      <c r="H240" s="200"/>
      <c r="I240" s="199"/>
      <c r="J240" s="198" t="s">
        <v>631</v>
      </c>
      <c r="K240" s="200"/>
      <c r="L240" s="200"/>
      <c r="M240" s="172" t="s">
        <v>34</v>
      </c>
      <c r="N240" s="172"/>
      <c r="O240" s="12">
        <f>'Start Here'!$C$16</f>
        <v>2023</v>
      </c>
    </row>
    <row r="241" spans="1:17" x14ac:dyDescent="0.25">
      <c r="D241" s="185" t="s">
        <v>25</v>
      </c>
      <c r="E241" s="175"/>
      <c r="F241" s="176"/>
      <c r="G241" s="185" t="s">
        <v>25</v>
      </c>
      <c r="H241" s="175"/>
      <c r="I241" s="176"/>
      <c r="J241" s="185" t="s">
        <v>25</v>
      </c>
      <c r="K241" s="175"/>
      <c r="L241" s="175"/>
    </row>
    <row r="242" spans="1:17" ht="30" x14ac:dyDescent="0.25">
      <c r="A242" s="186" t="s">
        <v>739</v>
      </c>
      <c r="B242" s="186"/>
      <c r="C242" s="187"/>
      <c r="D242" s="52" t="s">
        <v>28</v>
      </c>
      <c r="E242" s="51" t="s">
        <v>27</v>
      </c>
      <c r="F242" s="51" t="s">
        <v>26</v>
      </c>
      <c r="G242" s="55" t="s">
        <v>28</v>
      </c>
      <c r="H242" s="56" t="s">
        <v>27</v>
      </c>
      <c r="I242" s="56" t="s">
        <v>26</v>
      </c>
      <c r="J242" s="52" t="s">
        <v>28</v>
      </c>
      <c r="K242" s="51" t="s">
        <v>27</v>
      </c>
      <c r="L242" s="51" t="s">
        <v>26</v>
      </c>
    </row>
    <row r="243" spans="1:17" ht="15.75" thickBot="1" x14ac:dyDescent="0.3">
      <c r="A243" s="59" t="s">
        <v>751</v>
      </c>
      <c r="B243" s="73"/>
      <c r="C243" s="74"/>
      <c r="D243" s="29">
        <f t="shared" ref="D243:F249" si="65">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65"/>
        <v>0</v>
      </c>
      <c r="F243" s="64">
        <f t="shared" si="65"/>
        <v>0</v>
      </c>
      <c r="G243" s="29" t="str">
        <f>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ref="G243:I249" si="66">IF(E243=0, "", (SUMIFS(OpenedNSustained, OpenedMSSO, "Criminal violation", OpenedSustainedCriminalViolation, $A243, OpenedComplaintSource, H$170, OpenedInternalDisposition, "Sustained", OpenedCloseDate, "&gt;="&amp;$B$9, OpenedCloseDate, "&lt;="&amp;$B$10) + SUMIFS(PendingNSustained, PendingMSSO, "Criminal violation", PendingSustainedCriminalViolation, $A243, PendingComplaintSource, H$170, PendingInternalDisposition, "Sustained", PendingCloseDate, "&gt;="&amp;$B$9, PendingCloseDate, "&lt;="&amp;$B$10)) / E243)</f>
        <v/>
      </c>
      <c r="I243" s="64" t="str">
        <f t="shared" si="66"/>
        <v/>
      </c>
      <c r="J243" s="29">
        <f t="shared" ref="J243:L249" si="67">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67"/>
        <v>0</v>
      </c>
      <c r="L243" s="29">
        <f t="shared" si="67"/>
        <v>0</v>
      </c>
    </row>
    <row r="244" spans="1:17" ht="15" customHeight="1" x14ac:dyDescent="0.25">
      <c r="A244" s="32" t="s">
        <v>682</v>
      </c>
      <c r="B244" s="67"/>
      <c r="C244" s="71"/>
      <c r="D244" s="30">
        <f t="shared" si="65"/>
        <v>0</v>
      </c>
      <c r="E244" s="30">
        <f t="shared" si="65"/>
        <v>0</v>
      </c>
      <c r="F244" s="31">
        <f t="shared" si="65"/>
        <v>0</v>
      </c>
      <c r="G244" s="30" t="str">
        <f t="shared" si="66"/>
        <v/>
      </c>
      <c r="H244" s="30" t="str">
        <f t="shared" si="66"/>
        <v/>
      </c>
      <c r="I244" s="31" t="str">
        <f t="shared" si="66"/>
        <v/>
      </c>
      <c r="J244" s="30">
        <f t="shared" si="67"/>
        <v>0</v>
      </c>
      <c r="K244" s="30">
        <f t="shared" si="67"/>
        <v>0</v>
      </c>
      <c r="L244" s="30">
        <f t="shared" si="67"/>
        <v>0</v>
      </c>
      <c r="N244" s="188" t="s">
        <v>727</v>
      </c>
      <c r="O244" s="189"/>
      <c r="P244" s="190"/>
    </row>
    <row r="245" spans="1:17" x14ac:dyDescent="0.25">
      <c r="A245" s="33" t="s">
        <v>683</v>
      </c>
      <c r="C245" s="65"/>
      <c r="D245" s="29">
        <f t="shared" si="65"/>
        <v>0</v>
      </c>
      <c r="E245" s="29">
        <f t="shared" si="65"/>
        <v>0</v>
      </c>
      <c r="F245" s="50">
        <f t="shared" si="65"/>
        <v>0</v>
      </c>
      <c r="G245" s="29" t="str">
        <f t="shared" si="66"/>
        <v/>
      </c>
      <c r="H245" s="29" t="str">
        <f t="shared" si="66"/>
        <v/>
      </c>
      <c r="I245" s="50" t="str">
        <f t="shared" si="66"/>
        <v/>
      </c>
      <c r="J245" s="29">
        <f t="shared" si="67"/>
        <v>0</v>
      </c>
      <c r="K245" s="29">
        <f t="shared" si="67"/>
        <v>0</v>
      </c>
      <c r="L245" s="29">
        <f t="shared" si="67"/>
        <v>0</v>
      </c>
      <c r="N245" s="191"/>
      <c r="O245" s="192"/>
      <c r="P245" s="193"/>
    </row>
    <row r="246" spans="1:17" x14ac:dyDescent="0.25">
      <c r="A246" s="32" t="s">
        <v>684</v>
      </c>
      <c r="B246" s="67"/>
      <c r="C246" s="71"/>
      <c r="D246" s="30">
        <f t="shared" si="65"/>
        <v>0</v>
      </c>
      <c r="E246" s="30">
        <f t="shared" si="65"/>
        <v>0</v>
      </c>
      <c r="F246" s="31">
        <f t="shared" si="65"/>
        <v>0</v>
      </c>
      <c r="G246" s="30" t="str">
        <f t="shared" si="66"/>
        <v/>
      </c>
      <c r="H246" s="30" t="str">
        <f t="shared" si="66"/>
        <v/>
      </c>
      <c r="I246" s="31" t="str">
        <f t="shared" si="66"/>
        <v/>
      </c>
      <c r="J246" s="30">
        <f t="shared" si="67"/>
        <v>0</v>
      </c>
      <c r="K246" s="30">
        <f t="shared" si="67"/>
        <v>0</v>
      </c>
      <c r="L246" s="30">
        <f t="shared" si="67"/>
        <v>0</v>
      </c>
      <c r="N246" s="191"/>
      <c r="O246" s="192"/>
      <c r="P246" s="193"/>
    </row>
    <row r="247" spans="1:17" x14ac:dyDescent="0.25">
      <c r="A247" s="33" t="s">
        <v>648</v>
      </c>
      <c r="C247" s="65"/>
      <c r="D247" s="29">
        <f t="shared" si="65"/>
        <v>0</v>
      </c>
      <c r="E247" s="29">
        <f t="shared" si="65"/>
        <v>0</v>
      </c>
      <c r="F247" s="50">
        <f t="shared" si="65"/>
        <v>0</v>
      </c>
      <c r="G247" s="29" t="str">
        <f t="shared" si="66"/>
        <v/>
      </c>
      <c r="H247" s="29" t="str">
        <f t="shared" si="66"/>
        <v/>
      </c>
      <c r="I247" s="50" t="str">
        <f t="shared" si="66"/>
        <v/>
      </c>
      <c r="J247" s="29">
        <f t="shared" si="67"/>
        <v>0</v>
      </c>
      <c r="K247" s="29">
        <f t="shared" si="67"/>
        <v>0</v>
      </c>
      <c r="L247" s="29">
        <f t="shared" si="67"/>
        <v>0</v>
      </c>
      <c r="N247" s="191"/>
      <c r="O247" s="192"/>
      <c r="P247" s="193"/>
    </row>
    <row r="248" spans="1:17" x14ac:dyDescent="0.25">
      <c r="A248" s="32" t="s">
        <v>685</v>
      </c>
      <c r="B248" s="67"/>
      <c r="C248" s="71"/>
      <c r="D248" s="30">
        <f t="shared" si="65"/>
        <v>0</v>
      </c>
      <c r="E248" s="30">
        <f t="shared" si="65"/>
        <v>0</v>
      </c>
      <c r="F248" s="31">
        <f t="shared" si="65"/>
        <v>0</v>
      </c>
      <c r="G248" s="30" t="str">
        <f t="shared" si="66"/>
        <v/>
      </c>
      <c r="H248" s="30" t="str">
        <f t="shared" si="66"/>
        <v/>
      </c>
      <c r="I248" s="31" t="str">
        <f t="shared" si="66"/>
        <v/>
      </c>
      <c r="J248" s="30">
        <f t="shared" si="67"/>
        <v>0</v>
      </c>
      <c r="K248" s="30">
        <f t="shared" si="67"/>
        <v>0</v>
      </c>
      <c r="L248" s="30">
        <f t="shared" si="67"/>
        <v>0</v>
      </c>
      <c r="N248" s="191"/>
      <c r="O248" s="192"/>
      <c r="P248" s="193"/>
    </row>
    <row r="249" spans="1:17" x14ac:dyDescent="0.25">
      <c r="A249" s="33" t="s">
        <v>686</v>
      </c>
      <c r="C249" s="65"/>
      <c r="D249" s="29">
        <f t="shared" si="65"/>
        <v>0</v>
      </c>
      <c r="E249" s="29">
        <f t="shared" si="65"/>
        <v>0</v>
      </c>
      <c r="F249" s="50">
        <f t="shared" si="65"/>
        <v>0</v>
      </c>
      <c r="G249" s="29" t="str">
        <f t="shared" si="66"/>
        <v/>
      </c>
      <c r="H249" s="29" t="str">
        <f t="shared" si="66"/>
        <v/>
      </c>
      <c r="I249" s="50" t="str">
        <f t="shared" si="66"/>
        <v/>
      </c>
      <c r="J249" s="29">
        <f t="shared" si="67"/>
        <v>0</v>
      </c>
      <c r="K249" s="29">
        <f t="shared" si="67"/>
        <v>0</v>
      </c>
      <c r="L249" s="29">
        <f t="shared" si="67"/>
        <v>0</v>
      </c>
      <c r="N249" s="191"/>
      <c r="O249" s="192"/>
      <c r="P249" s="193"/>
    </row>
    <row r="250" spans="1:17" x14ac:dyDescent="0.25">
      <c r="A250" s="73"/>
      <c r="B250" s="73"/>
      <c r="C250" s="74"/>
      <c r="D250" s="69">
        <f>SUM(D243:D249)</f>
        <v>0</v>
      </c>
      <c r="E250" s="69">
        <f>SUM(E243:E249)</f>
        <v>0</v>
      </c>
      <c r="F250" s="83">
        <f>SUM(F243:F249)</f>
        <v>0</v>
      </c>
      <c r="G250" s="6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6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8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69">
        <f>SUM(J243:J249)</f>
        <v>0</v>
      </c>
      <c r="K250" s="69">
        <f>SUM(K243:K249)</f>
        <v>0</v>
      </c>
      <c r="L250" s="69">
        <f>SUM(L243:L249)</f>
        <v>0</v>
      </c>
      <c r="M250" s="33"/>
      <c r="N250" s="191"/>
      <c r="O250" s="192"/>
      <c r="P250" s="193"/>
      <c r="Q250" s="98"/>
    </row>
    <row r="251" spans="1:17" x14ac:dyDescent="0.25">
      <c r="D251" s="98"/>
      <c r="E251" s="98"/>
      <c r="F251" s="98"/>
      <c r="G251" s="98"/>
      <c r="H251" s="98"/>
      <c r="I251" s="98"/>
      <c r="J251" s="98"/>
      <c r="K251" s="98"/>
      <c r="M251" s="33"/>
      <c r="N251" s="191"/>
      <c r="O251" s="192"/>
      <c r="P251" s="193"/>
      <c r="Q251" s="98"/>
    </row>
    <row r="252" spans="1:17" ht="48" customHeight="1" x14ac:dyDescent="0.25">
      <c r="A252" s="197" t="s">
        <v>740</v>
      </c>
      <c r="B252" s="197"/>
      <c r="C252" s="197"/>
      <c r="D252" s="197"/>
      <c r="E252" s="197"/>
      <c r="F252" s="197"/>
      <c r="G252" s="197"/>
      <c r="H252" s="101"/>
      <c r="N252" s="191"/>
      <c r="O252" s="192"/>
      <c r="P252" s="193"/>
      <c r="Q252" s="98"/>
    </row>
    <row r="253" spans="1:17" ht="47.25" customHeight="1" thickBot="1" x14ac:dyDescent="0.3">
      <c r="A253" s="140"/>
      <c r="B253" s="140"/>
      <c r="C253" s="105"/>
      <c r="D253" s="198" t="s">
        <v>722</v>
      </c>
      <c r="E253" s="199"/>
      <c r="F253" s="200" t="s">
        <v>732</v>
      </c>
      <c r="G253" s="200"/>
      <c r="H253" s="101"/>
      <c r="N253" s="194"/>
      <c r="O253" s="195"/>
      <c r="P253" s="196"/>
      <c r="Q253" s="98"/>
    </row>
    <row r="254" spans="1:17" ht="32.25" customHeight="1" x14ac:dyDescent="0.25">
      <c r="D254" s="177" t="s">
        <v>637</v>
      </c>
      <c r="E254" s="178"/>
      <c r="F254" s="179" t="s">
        <v>637</v>
      </c>
      <c r="G254" s="179"/>
      <c r="H254" s="101"/>
      <c r="N254" s="108"/>
      <c r="O254" s="108"/>
      <c r="P254" s="108"/>
      <c r="Q254" s="98"/>
    </row>
    <row r="255" spans="1:17" ht="45" customHeight="1" x14ac:dyDescent="0.25">
      <c r="A255" s="180" t="s">
        <v>738</v>
      </c>
      <c r="B255" s="180"/>
      <c r="C255" s="181"/>
      <c r="D255" s="131" t="s">
        <v>24</v>
      </c>
      <c r="E255" s="135" t="s">
        <v>636</v>
      </c>
      <c r="F255" s="129" t="s">
        <v>24</v>
      </c>
      <c r="G255" s="129" t="s">
        <v>636</v>
      </c>
      <c r="H255" s="98"/>
      <c r="Q255" s="98"/>
    </row>
    <row r="256" spans="1:17" x14ac:dyDescent="0.25">
      <c r="A256" s="59" t="s">
        <v>751</v>
      </c>
      <c r="B256" s="59"/>
      <c r="C256" s="74"/>
      <c r="D256" s="81">
        <f t="shared" ref="D256:D262" si="68">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74">
        <f t="shared" ref="E256:E262" si="69">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149" t="str">
        <f t="shared" ref="F256:F262" si="70">IF(D256 = 0, "", (SUMIFS(PendingLengthOfCase, PendingStatus,"Closed",PendingMSO, "Criminal violation", PendingCriminalViolation, $A256, PendingInternalDisposition, "Sustained", PendingCloseDate, "&gt;="&amp;$B$9, PendingCloseDate, "&lt;="&amp;$B$10) + SUMIFS(OpenedLengthOfCase, OpenedStatus,"Closed",OpenedMSO, "Criminal violation", OpenedCriminalViolation, $A256, OpenedInternalDisposition, "Sustained", OpenedCloseDate, "&gt;="&amp;$B$9, OpenedCloseDate, "&lt;="&amp;$B$10)) / (D256))</f>
        <v/>
      </c>
      <c r="G256" s="149" t="str">
        <f t="shared" ref="G256:G262" si="71">IF(E256 = 0, "", (SUMIFS(PendingLengthOfCase, PendingStatus,"Closed",PendingMSO, "Criminal violation", PendingCriminalViolation, $A256, PendingInternalDisposition, "&lt;&gt;Sustained", PendingCloseDate, "&gt;="&amp;$B$9, PendingCloseDate, "&lt;="&amp;$B$10) + SUMIFS(OpenedLengthOfCase, OpenedStatus,"Closed",OpenedMSO, "Criminal violation", OpenedCriminalViolation, $A256, OpenedInternalDisposition, "&lt;&gt;Sustained", OpenedCloseDate, "&gt;="&amp;$B$9, OpenedCloseDate, "&lt;="&amp;$B$10)) / (E256))</f>
        <v/>
      </c>
      <c r="H256" s="98"/>
      <c r="Q256" s="98"/>
    </row>
    <row r="257" spans="1:17" x14ac:dyDescent="0.25">
      <c r="A257" s="32" t="s">
        <v>682</v>
      </c>
      <c r="B257" s="32"/>
      <c r="C257" s="71"/>
      <c r="D257" s="109">
        <f t="shared" si="68"/>
        <v>0</v>
      </c>
      <c r="E257" s="71">
        <f t="shared" si="69"/>
        <v>0</v>
      </c>
      <c r="F257" s="142" t="str">
        <f t="shared" si="70"/>
        <v/>
      </c>
      <c r="G257" s="142" t="str">
        <f t="shared" si="71"/>
        <v/>
      </c>
      <c r="H257" s="98"/>
      <c r="Q257" s="98"/>
    </row>
    <row r="258" spans="1:17" x14ac:dyDescent="0.25">
      <c r="A258" s="33" t="s">
        <v>683</v>
      </c>
      <c r="B258" s="33"/>
      <c r="C258" s="65"/>
      <c r="D258" s="49">
        <f t="shared" si="68"/>
        <v>0</v>
      </c>
      <c r="E258" s="65">
        <f t="shared" si="69"/>
        <v>0</v>
      </c>
      <c r="F258" s="141" t="str">
        <f t="shared" si="70"/>
        <v/>
      </c>
      <c r="G258" s="141" t="str">
        <f t="shared" si="71"/>
        <v/>
      </c>
      <c r="H258" s="98"/>
      <c r="Q258" s="98"/>
    </row>
    <row r="259" spans="1:17" x14ac:dyDescent="0.25">
      <c r="A259" s="32" t="s">
        <v>684</v>
      </c>
      <c r="B259" s="32"/>
      <c r="C259" s="71"/>
      <c r="D259" s="109">
        <f t="shared" si="68"/>
        <v>0</v>
      </c>
      <c r="E259" s="71">
        <f t="shared" si="69"/>
        <v>0</v>
      </c>
      <c r="F259" s="142" t="str">
        <f t="shared" si="70"/>
        <v/>
      </c>
      <c r="G259" s="142" t="str">
        <f t="shared" si="71"/>
        <v/>
      </c>
      <c r="H259" s="98"/>
      <c r="Q259" s="98"/>
    </row>
    <row r="260" spans="1:17" x14ac:dyDescent="0.25">
      <c r="A260" s="33" t="s">
        <v>648</v>
      </c>
      <c r="B260" s="33"/>
      <c r="C260" s="65"/>
      <c r="D260" s="49">
        <f t="shared" si="68"/>
        <v>0</v>
      </c>
      <c r="E260" s="65">
        <f t="shared" si="69"/>
        <v>0</v>
      </c>
      <c r="F260" s="141" t="str">
        <f t="shared" si="70"/>
        <v/>
      </c>
      <c r="G260" s="141" t="str">
        <f t="shared" si="71"/>
        <v/>
      </c>
      <c r="H260" s="98"/>
      <c r="Q260" s="98"/>
    </row>
    <row r="261" spans="1:17" x14ac:dyDescent="0.25">
      <c r="A261" s="32" t="s">
        <v>685</v>
      </c>
      <c r="B261" s="32"/>
      <c r="C261" s="71"/>
      <c r="D261" s="109">
        <f t="shared" si="68"/>
        <v>0</v>
      </c>
      <c r="E261" s="71">
        <f t="shared" si="69"/>
        <v>0</v>
      </c>
      <c r="F261" s="142" t="str">
        <f t="shared" si="70"/>
        <v/>
      </c>
      <c r="G261" s="142" t="str">
        <f t="shared" si="71"/>
        <v/>
      </c>
      <c r="H261" s="98"/>
      <c r="Q261" s="98"/>
    </row>
    <row r="262" spans="1:17" x14ac:dyDescent="0.25">
      <c r="A262" s="33" t="s">
        <v>686</v>
      </c>
      <c r="B262" s="33"/>
      <c r="C262" s="65"/>
      <c r="D262" s="49">
        <f t="shared" si="68"/>
        <v>0</v>
      </c>
      <c r="E262" s="65">
        <f t="shared" si="69"/>
        <v>0</v>
      </c>
      <c r="F262" s="141" t="str">
        <f t="shared" si="70"/>
        <v/>
      </c>
      <c r="G262" s="141" t="str">
        <f t="shared" si="71"/>
        <v/>
      </c>
      <c r="H262" s="98"/>
      <c r="Q262" s="98"/>
    </row>
    <row r="263" spans="1:17" x14ac:dyDescent="0.25">
      <c r="A263" s="73"/>
      <c r="B263" s="73"/>
      <c r="C263" s="74"/>
      <c r="D263" s="110">
        <f>SUM(D256:D262)</f>
        <v>0</v>
      </c>
      <c r="E263" s="88">
        <f>SUM(E256:E262)</f>
        <v>0</v>
      </c>
      <c r="F263" s="153" t="str">
        <f>IF(D263 = 0, "", SUMPRODUCT(D256:D262,F256:F262) / D263)</f>
        <v/>
      </c>
      <c r="G263" s="153" t="str">
        <f>IF(E263 = 0, "", SUMPRODUCT(E256:E262,G256:G262) / E263)</f>
        <v/>
      </c>
      <c r="H263" s="98"/>
      <c r="Q263" s="98"/>
    </row>
    <row r="264" spans="1:17" x14ac:dyDescent="0.25">
      <c r="F264" s="98"/>
      <c r="G264" s="98"/>
      <c r="H264" s="98"/>
      <c r="I264" s="98"/>
      <c r="J264" s="98"/>
      <c r="K264" s="98"/>
      <c r="L264" s="33"/>
      <c r="M264" s="98"/>
      <c r="N264" s="98"/>
      <c r="O264" s="98"/>
      <c r="P264" s="98"/>
      <c r="Q264" s="98"/>
    </row>
    <row r="265" spans="1:17" x14ac:dyDescent="0.25">
      <c r="A265" s="182" t="str">
        <f>$B$8&amp;": Discipline Issued"</f>
        <v>Q4: Discipline Issued</v>
      </c>
      <c r="B265" s="182"/>
      <c r="C265" s="182"/>
      <c r="D265" s="182"/>
      <c r="E265" s="182"/>
      <c r="F265" s="182"/>
      <c r="G265" s="182"/>
      <c r="H265" s="182"/>
      <c r="I265" s="182"/>
      <c r="J265" s="182"/>
      <c r="K265" s="182"/>
      <c r="L265" s="182"/>
      <c r="M265" s="182"/>
      <c r="N265" s="182"/>
      <c r="O265" s="182"/>
      <c r="P265" s="182"/>
      <c r="Q265" s="182"/>
    </row>
    <row r="266" spans="1:17" x14ac:dyDescent="0.25">
      <c r="A266" s="182"/>
      <c r="B266" s="182"/>
      <c r="C266" s="182"/>
      <c r="D266" s="182"/>
      <c r="E266" s="182"/>
      <c r="F266" s="182"/>
      <c r="G266" s="182"/>
      <c r="H266" s="182"/>
      <c r="I266" s="182"/>
      <c r="J266" s="182"/>
      <c r="K266" s="182"/>
      <c r="L266" s="182"/>
      <c r="M266" s="182"/>
      <c r="N266" s="182"/>
      <c r="O266" s="182"/>
      <c r="P266" s="182"/>
      <c r="Q266" s="182"/>
    </row>
    <row r="267" spans="1:17" ht="21" customHeight="1" x14ac:dyDescent="0.25">
      <c r="A267" s="183" t="s">
        <v>728</v>
      </c>
      <c r="B267" s="183"/>
      <c r="C267" s="183"/>
      <c r="D267" s="183"/>
      <c r="E267" s="183"/>
      <c r="F267" s="183"/>
      <c r="G267" s="183"/>
      <c r="H267" s="183"/>
      <c r="I267" s="183"/>
      <c r="J267" s="183"/>
      <c r="K267" s="183"/>
      <c r="L267" s="183"/>
      <c r="M267" s="183"/>
      <c r="N267" s="183"/>
      <c r="O267" s="183"/>
      <c r="P267" s="183"/>
      <c r="Q267" s="183"/>
    </row>
    <row r="268" spans="1:17" ht="75" x14ac:dyDescent="0.25">
      <c r="A268" s="173" t="s">
        <v>701</v>
      </c>
      <c r="B268" s="173"/>
      <c r="C268" s="174"/>
      <c r="D268" s="7" t="s">
        <v>662</v>
      </c>
      <c r="E268" s="7" t="s">
        <v>663</v>
      </c>
      <c r="F268" s="7" t="s">
        <v>664</v>
      </c>
      <c r="G268" s="7" t="s">
        <v>665</v>
      </c>
      <c r="H268" s="7" t="s">
        <v>666</v>
      </c>
      <c r="I268" s="7" t="s">
        <v>667</v>
      </c>
      <c r="J268" s="7" t="s">
        <v>668</v>
      </c>
      <c r="K268" s="7" t="s">
        <v>669</v>
      </c>
      <c r="L268" s="80" t="s">
        <v>670</v>
      </c>
      <c r="M268" s="7" t="s">
        <v>702</v>
      </c>
      <c r="N268" s="172" t="s">
        <v>33</v>
      </c>
      <c r="O268" s="172"/>
      <c r="P268" s="184" t="str">
        <f>'Start Here'!C$13</f>
        <v>Wharton Police Department</v>
      </c>
      <c r="Q268" s="184"/>
    </row>
    <row r="269" spans="1:17" x14ac:dyDescent="0.25">
      <c r="A269" s="72" t="s">
        <v>658</v>
      </c>
      <c r="B269" s="73"/>
      <c r="C269" s="74"/>
      <c r="D269" s="73">
        <f t="shared" ref="D269:L277" si="72">COUNTIFS(PendingMSSO, $A269, PendingDiscipline, D$268, PendingStatus, "Closed", PendingCloseDate, "&gt;="&amp;$B$9, PendingCloseDate, "&lt;="&amp;$B$10) + COUNTIFS(OpenedMSSO, $A269, OpenedDiscipline, D$268, OpenedStatus, "Closed", OpenedCloseDate, "&gt;="&amp;$B$9, OpenedCloseDate, "&lt;="&amp;$B$10)</f>
        <v>0</v>
      </c>
      <c r="E269" s="73">
        <f t="shared" si="72"/>
        <v>0</v>
      </c>
      <c r="F269" s="73">
        <f t="shared" si="72"/>
        <v>0</v>
      </c>
      <c r="G269" s="73">
        <f t="shared" si="72"/>
        <v>0</v>
      </c>
      <c r="H269" s="73">
        <f t="shared" si="72"/>
        <v>0</v>
      </c>
      <c r="I269" s="73">
        <f t="shared" si="72"/>
        <v>0</v>
      </c>
      <c r="J269" s="73">
        <f t="shared" si="72"/>
        <v>0</v>
      </c>
      <c r="K269" s="73">
        <f t="shared" si="72"/>
        <v>0</v>
      </c>
      <c r="L269" s="74">
        <f t="shared" si="72"/>
        <v>0</v>
      </c>
      <c r="M269" s="81">
        <f>SUM(D269:L269)</f>
        <v>0</v>
      </c>
      <c r="N269" s="172" t="s">
        <v>34</v>
      </c>
      <c r="O269" s="172"/>
      <c r="P269" s="12">
        <f>'Start Here'!$C$16</f>
        <v>2023</v>
      </c>
    </row>
    <row r="270" spans="1:17" x14ac:dyDescent="0.25">
      <c r="A270" s="2" t="s">
        <v>651</v>
      </c>
      <c r="B270" s="67"/>
      <c r="C270" s="71"/>
      <c r="D270" s="67">
        <f t="shared" si="72"/>
        <v>0</v>
      </c>
      <c r="E270" s="67">
        <f t="shared" si="72"/>
        <v>0</v>
      </c>
      <c r="F270" s="67">
        <f t="shared" si="72"/>
        <v>0</v>
      </c>
      <c r="G270" s="67">
        <f t="shared" si="72"/>
        <v>0</v>
      </c>
      <c r="H270" s="67">
        <f t="shared" si="72"/>
        <v>0</v>
      </c>
      <c r="I270" s="67">
        <f t="shared" si="72"/>
        <v>0</v>
      </c>
      <c r="J270" s="67">
        <f t="shared" si="72"/>
        <v>0</v>
      </c>
      <c r="K270" s="67">
        <f t="shared" si="72"/>
        <v>0</v>
      </c>
      <c r="L270" s="71">
        <f t="shared" si="72"/>
        <v>0</v>
      </c>
      <c r="M270" s="67">
        <f t="shared" ref="M270:M278" si="73">SUM(D270:L270)</f>
        <v>0</v>
      </c>
    </row>
    <row r="271" spans="1:17" x14ac:dyDescent="0.25">
      <c r="A271" s="1" t="s">
        <v>652</v>
      </c>
      <c r="C271" s="65"/>
      <c r="D271">
        <f t="shared" si="72"/>
        <v>0</v>
      </c>
      <c r="E271">
        <f t="shared" si="72"/>
        <v>0</v>
      </c>
      <c r="F271">
        <f t="shared" si="72"/>
        <v>0</v>
      </c>
      <c r="G271">
        <f t="shared" si="72"/>
        <v>0</v>
      </c>
      <c r="H271">
        <f t="shared" si="72"/>
        <v>0</v>
      </c>
      <c r="I271">
        <f t="shared" si="72"/>
        <v>0</v>
      </c>
      <c r="J271">
        <f t="shared" si="72"/>
        <v>0</v>
      </c>
      <c r="K271">
        <f t="shared" si="72"/>
        <v>0</v>
      </c>
      <c r="L271" s="65">
        <f t="shared" si="72"/>
        <v>0</v>
      </c>
      <c r="M271">
        <f t="shared" si="73"/>
        <v>0</v>
      </c>
    </row>
    <row r="272" spans="1:17" x14ac:dyDescent="0.25">
      <c r="A272" s="2" t="s">
        <v>653</v>
      </c>
      <c r="B272" s="67"/>
      <c r="C272" s="71"/>
      <c r="D272" s="67">
        <f t="shared" si="72"/>
        <v>0</v>
      </c>
      <c r="E272" s="67">
        <f t="shared" si="72"/>
        <v>0</v>
      </c>
      <c r="F272" s="67">
        <f t="shared" si="72"/>
        <v>0</v>
      </c>
      <c r="G272" s="67">
        <f t="shared" si="72"/>
        <v>0</v>
      </c>
      <c r="H272" s="67">
        <f t="shared" si="72"/>
        <v>0</v>
      </c>
      <c r="I272" s="67">
        <f t="shared" si="72"/>
        <v>0</v>
      </c>
      <c r="J272" s="67">
        <f t="shared" si="72"/>
        <v>0</v>
      </c>
      <c r="K272" s="67">
        <f t="shared" si="72"/>
        <v>0</v>
      </c>
      <c r="L272" s="71">
        <f t="shared" si="72"/>
        <v>0</v>
      </c>
      <c r="M272" s="67">
        <f t="shared" si="73"/>
        <v>0</v>
      </c>
    </row>
    <row r="273" spans="1:13" x14ac:dyDescent="0.25">
      <c r="A273" s="1" t="s">
        <v>654</v>
      </c>
      <c r="C273" s="65"/>
      <c r="D273">
        <f t="shared" si="72"/>
        <v>0</v>
      </c>
      <c r="E273">
        <f t="shared" si="72"/>
        <v>0</v>
      </c>
      <c r="F273">
        <f t="shared" si="72"/>
        <v>0</v>
      </c>
      <c r="G273">
        <f t="shared" si="72"/>
        <v>0</v>
      </c>
      <c r="H273">
        <f t="shared" si="72"/>
        <v>0</v>
      </c>
      <c r="I273">
        <f t="shared" si="72"/>
        <v>0</v>
      </c>
      <c r="J273">
        <f t="shared" si="72"/>
        <v>0</v>
      </c>
      <c r="K273">
        <f t="shared" si="72"/>
        <v>0</v>
      </c>
      <c r="L273" s="65">
        <f t="shared" si="72"/>
        <v>0</v>
      </c>
      <c r="M273">
        <f t="shared" si="73"/>
        <v>0</v>
      </c>
    </row>
    <row r="274" spans="1:13" x14ac:dyDescent="0.25">
      <c r="A274" s="2" t="s">
        <v>655</v>
      </c>
      <c r="B274" s="67"/>
      <c r="C274" s="71"/>
      <c r="D274" s="67">
        <f t="shared" si="72"/>
        <v>0</v>
      </c>
      <c r="E274" s="67">
        <f t="shared" si="72"/>
        <v>0</v>
      </c>
      <c r="F274" s="67">
        <f t="shared" si="72"/>
        <v>0</v>
      </c>
      <c r="G274" s="67">
        <f t="shared" si="72"/>
        <v>0</v>
      </c>
      <c r="H274" s="67">
        <f t="shared" si="72"/>
        <v>0</v>
      </c>
      <c r="I274" s="67">
        <f t="shared" si="72"/>
        <v>0</v>
      </c>
      <c r="J274" s="67">
        <f t="shared" si="72"/>
        <v>0</v>
      </c>
      <c r="K274" s="67">
        <f t="shared" si="72"/>
        <v>0</v>
      </c>
      <c r="L274" s="71">
        <f t="shared" si="72"/>
        <v>0</v>
      </c>
      <c r="M274" s="67">
        <f t="shared" si="73"/>
        <v>0</v>
      </c>
    </row>
    <row r="275" spans="1:13" x14ac:dyDescent="0.25">
      <c r="A275" s="1" t="s">
        <v>656</v>
      </c>
      <c r="C275" s="65"/>
      <c r="D275">
        <f t="shared" si="72"/>
        <v>0</v>
      </c>
      <c r="E275">
        <f t="shared" si="72"/>
        <v>0</v>
      </c>
      <c r="F275">
        <f t="shared" si="72"/>
        <v>0</v>
      </c>
      <c r="G275">
        <f t="shared" si="72"/>
        <v>0</v>
      </c>
      <c r="H275">
        <f t="shared" si="72"/>
        <v>0</v>
      </c>
      <c r="I275">
        <f t="shared" si="72"/>
        <v>0</v>
      </c>
      <c r="J275">
        <f t="shared" si="72"/>
        <v>0</v>
      </c>
      <c r="K275">
        <f t="shared" si="72"/>
        <v>0</v>
      </c>
      <c r="L275" s="65">
        <f t="shared" si="72"/>
        <v>0</v>
      </c>
      <c r="M275">
        <f t="shared" si="73"/>
        <v>0</v>
      </c>
    </row>
    <row r="276" spans="1:13" x14ac:dyDescent="0.25">
      <c r="A276" s="2" t="s">
        <v>5</v>
      </c>
      <c r="B276" s="67"/>
      <c r="C276" s="71"/>
      <c r="D276" s="67">
        <f t="shared" si="72"/>
        <v>0</v>
      </c>
      <c r="E276" s="67">
        <f t="shared" si="72"/>
        <v>0</v>
      </c>
      <c r="F276" s="67">
        <f t="shared" si="72"/>
        <v>0</v>
      </c>
      <c r="G276" s="67">
        <f t="shared" si="72"/>
        <v>0</v>
      </c>
      <c r="H276" s="67">
        <f t="shared" si="72"/>
        <v>0</v>
      </c>
      <c r="I276" s="67">
        <f t="shared" si="72"/>
        <v>0</v>
      </c>
      <c r="J276" s="67">
        <f t="shared" si="72"/>
        <v>0</v>
      </c>
      <c r="K276" s="67">
        <f t="shared" si="72"/>
        <v>0</v>
      </c>
      <c r="L276" s="71">
        <f t="shared" si="72"/>
        <v>0</v>
      </c>
      <c r="M276" s="67">
        <f t="shared" si="73"/>
        <v>0</v>
      </c>
    </row>
    <row r="277" spans="1:13" x14ac:dyDescent="0.25">
      <c r="A277" s="1" t="s">
        <v>657</v>
      </c>
      <c r="C277" s="65"/>
      <c r="D277">
        <f t="shared" si="72"/>
        <v>0</v>
      </c>
      <c r="E277">
        <f t="shared" si="72"/>
        <v>0</v>
      </c>
      <c r="F277">
        <f t="shared" si="72"/>
        <v>0</v>
      </c>
      <c r="G277">
        <f t="shared" si="72"/>
        <v>0</v>
      </c>
      <c r="H277">
        <f t="shared" si="72"/>
        <v>0</v>
      </c>
      <c r="I277">
        <f t="shared" si="72"/>
        <v>0</v>
      </c>
      <c r="J277">
        <f t="shared" si="72"/>
        <v>0</v>
      </c>
      <c r="K277">
        <f t="shared" si="72"/>
        <v>0</v>
      </c>
      <c r="L277" s="65">
        <f t="shared" si="72"/>
        <v>0</v>
      </c>
      <c r="M277">
        <f t="shared" si="73"/>
        <v>0</v>
      </c>
    </row>
    <row r="278" spans="1:13" x14ac:dyDescent="0.25">
      <c r="A278" s="28" t="s">
        <v>696</v>
      </c>
      <c r="B278" s="78"/>
      <c r="C278" s="79"/>
      <c r="D278" s="78">
        <f>SUM(D269:D277)</f>
        <v>0</v>
      </c>
      <c r="E278" s="78">
        <f t="shared" ref="E278:L278" si="74">SUM(E269:E277)</f>
        <v>0</v>
      </c>
      <c r="F278" s="78">
        <f t="shared" si="74"/>
        <v>0</v>
      </c>
      <c r="G278" s="78">
        <f t="shared" si="74"/>
        <v>0</v>
      </c>
      <c r="H278" s="78">
        <f t="shared" si="74"/>
        <v>0</v>
      </c>
      <c r="I278" s="78">
        <f t="shared" si="74"/>
        <v>0</v>
      </c>
      <c r="J278" s="78">
        <f t="shared" si="74"/>
        <v>0</v>
      </c>
      <c r="K278" s="78">
        <f t="shared" si="74"/>
        <v>0</v>
      </c>
      <c r="L278" s="79">
        <f t="shared" si="74"/>
        <v>0</v>
      </c>
      <c r="M278" s="82">
        <f t="shared" si="73"/>
        <v>0</v>
      </c>
    </row>
    <row r="280" spans="1:13" x14ac:dyDescent="0.25">
      <c r="A280" s="173" t="s">
        <v>699</v>
      </c>
      <c r="B280" s="173"/>
      <c r="C280" s="174"/>
      <c r="D280" s="3"/>
      <c r="E280" s="3"/>
      <c r="F280" s="3"/>
      <c r="G280" s="3"/>
      <c r="H280" s="3"/>
      <c r="I280" s="3"/>
      <c r="J280" s="3"/>
      <c r="K280" s="3"/>
      <c r="L280" s="66"/>
    </row>
    <row r="281" spans="1:13" x14ac:dyDescent="0.25">
      <c r="A281" s="2" t="s">
        <v>659</v>
      </c>
      <c r="B281" s="67"/>
      <c r="C281" s="71"/>
      <c r="D281" s="67">
        <f t="shared" ref="D281:L296" si="75">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67">
        <f t="shared" si="75"/>
        <v>0</v>
      </c>
      <c r="F281" s="67">
        <f t="shared" si="75"/>
        <v>0</v>
      </c>
      <c r="G281" s="67">
        <f t="shared" si="75"/>
        <v>0</v>
      </c>
      <c r="H281" s="67">
        <f t="shared" si="75"/>
        <v>0</v>
      </c>
      <c r="I281" s="67">
        <f t="shared" si="75"/>
        <v>0</v>
      </c>
      <c r="J281" s="67">
        <f t="shared" si="75"/>
        <v>0</v>
      </c>
      <c r="K281" s="67">
        <f t="shared" si="75"/>
        <v>0</v>
      </c>
      <c r="L281" s="71">
        <f t="shared" si="75"/>
        <v>0</v>
      </c>
      <c r="M281" s="82">
        <f t="shared" ref="M281:M297" si="76">SUM(D281:L281)</f>
        <v>0</v>
      </c>
    </row>
    <row r="282" spans="1:13" x14ac:dyDescent="0.25">
      <c r="A282" s="1" t="s">
        <v>649</v>
      </c>
      <c r="C282" s="65"/>
      <c r="D282">
        <f t="shared" si="75"/>
        <v>0</v>
      </c>
      <c r="E282">
        <f t="shared" si="75"/>
        <v>0</v>
      </c>
      <c r="F282">
        <f t="shared" si="75"/>
        <v>0</v>
      </c>
      <c r="G282">
        <f t="shared" si="75"/>
        <v>0</v>
      </c>
      <c r="H282">
        <f t="shared" si="75"/>
        <v>0</v>
      </c>
      <c r="I282">
        <f t="shared" si="75"/>
        <v>0</v>
      </c>
      <c r="J282">
        <f t="shared" si="75"/>
        <v>0</v>
      </c>
      <c r="K282">
        <f t="shared" si="75"/>
        <v>0</v>
      </c>
      <c r="L282" s="65">
        <f t="shared" si="75"/>
        <v>0</v>
      </c>
      <c r="M282">
        <f t="shared" si="76"/>
        <v>0</v>
      </c>
    </row>
    <row r="283" spans="1:13" x14ac:dyDescent="0.25">
      <c r="A283" s="2" t="s">
        <v>650</v>
      </c>
      <c r="B283" s="67"/>
      <c r="C283" s="71"/>
      <c r="D283" s="67">
        <f t="shared" si="75"/>
        <v>0</v>
      </c>
      <c r="E283" s="67">
        <f t="shared" si="75"/>
        <v>0</v>
      </c>
      <c r="F283" s="67">
        <f t="shared" si="75"/>
        <v>0</v>
      </c>
      <c r="G283" s="67">
        <f t="shared" si="75"/>
        <v>0</v>
      </c>
      <c r="H283" s="67">
        <f t="shared" si="75"/>
        <v>0</v>
      </c>
      <c r="I283" s="67">
        <f t="shared" si="75"/>
        <v>0</v>
      </c>
      <c r="J283" s="67">
        <f t="shared" si="75"/>
        <v>0</v>
      </c>
      <c r="K283" s="67">
        <f t="shared" si="75"/>
        <v>0</v>
      </c>
      <c r="L283" s="71">
        <f t="shared" si="75"/>
        <v>0</v>
      </c>
      <c r="M283" s="67">
        <f t="shared" si="76"/>
        <v>0</v>
      </c>
    </row>
    <row r="284" spans="1:13" x14ac:dyDescent="0.25">
      <c r="A284" s="1" t="s">
        <v>687</v>
      </c>
      <c r="C284" s="65"/>
      <c r="D284">
        <f t="shared" si="75"/>
        <v>0</v>
      </c>
      <c r="E284">
        <f t="shared" si="75"/>
        <v>0</v>
      </c>
      <c r="F284">
        <f t="shared" si="75"/>
        <v>0</v>
      </c>
      <c r="G284">
        <f t="shared" si="75"/>
        <v>0</v>
      </c>
      <c r="H284">
        <f t="shared" si="75"/>
        <v>0</v>
      </c>
      <c r="I284">
        <f t="shared" si="75"/>
        <v>0</v>
      </c>
      <c r="J284">
        <f t="shared" si="75"/>
        <v>0</v>
      </c>
      <c r="K284">
        <f t="shared" si="75"/>
        <v>0</v>
      </c>
      <c r="L284" s="65">
        <f t="shared" si="75"/>
        <v>0</v>
      </c>
      <c r="M284">
        <f t="shared" si="76"/>
        <v>0</v>
      </c>
    </row>
    <row r="285" spans="1:13" x14ac:dyDescent="0.25">
      <c r="A285" s="2" t="s">
        <v>660</v>
      </c>
      <c r="B285" s="67"/>
      <c r="C285" s="71"/>
      <c r="D285" s="67">
        <f t="shared" si="75"/>
        <v>0</v>
      </c>
      <c r="E285" s="67">
        <f t="shared" si="75"/>
        <v>0</v>
      </c>
      <c r="F285" s="67">
        <f t="shared" si="75"/>
        <v>0</v>
      </c>
      <c r="G285" s="67">
        <f t="shared" si="75"/>
        <v>0</v>
      </c>
      <c r="H285" s="67">
        <f t="shared" si="75"/>
        <v>0</v>
      </c>
      <c r="I285" s="67">
        <f t="shared" si="75"/>
        <v>0</v>
      </c>
      <c r="J285" s="67">
        <f t="shared" si="75"/>
        <v>0</v>
      </c>
      <c r="K285" s="67">
        <f t="shared" si="75"/>
        <v>0</v>
      </c>
      <c r="L285" s="71">
        <f t="shared" si="75"/>
        <v>0</v>
      </c>
      <c r="M285" s="67">
        <f t="shared" si="76"/>
        <v>0</v>
      </c>
    </row>
    <row r="286" spans="1:13" x14ac:dyDescent="0.25">
      <c r="A286" s="1" t="s">
        <v>688</v>
      </c>
      <c r="C286" s="65"/>
      <c r="D286">
        <f t="shared" si="75"/>
        <v>0</v>
      </c>
      <c r="E286">
        <f t="shared" si="75"/>
        <v>0</v>
      </c>
      <c r="F286">
        <f t="shared" si="75"/>
        <v>0</v>
      </c>
      <c r="G286">
        <f t="shared" si="75"/>
        <v>0</v>
      </c>
      <c r="H286">
        <f t="shared" si="75"/>
        <v>0</v>
      </c>
      <c r="I286">
        <f t="shared" si="75"/>
        <v>0</v>
      </c>
      <c r="J286">
        <f t="shared" si="75"/>
        <v>0</v>
      </c>
      <c r="K286">
        <f t="shared" si="75"/>
        <v>0</v>
      </c>
      <c r="L286" s="65">
        <f t="shared" si="75"/>
        <v>0</v>
      </c>
      <c r="M286">
        <f t="shared" si="76"/>
        <v>0</v>
      </c>
    </row>
    <row r="287" spans="1:13" x14ac:dyDescent="0.25">
      <c r="A287" s="2" t="s">
        <v>689</v>
      </c>
      <c r="B287" s="67"/>
      <c r="C287" s="71"/>
      <c r="D287" s="67">
        <f t="shared" si="75"/>
        <v>0</v>
      </c>
      <c r="E287" s="67">
        <f t="shared" si="75"/>
        <v>0</v>
      </c>
      <c r="F287" s="67">
        <f t="shared" si="75"/>
        <v>0</v>
      </c>
      <c r="G287" s="67">
        <f t="shared" si="75"/>
        <v>0</v>
      </c>
      <c r="H287" s="67">
        <f t="shared" si="75"/>
        <v>0</v>
      </c>
      <c r="I287" s="67">
        <f t="shared" si="75"/>
        <v>0</v>
      </c>
      <c r="J287" s="67">
        <f t="shared" si="75"/>
        <v>0</v>
      </c>
      <c r="K287" s="67">
        <f t="shared" si="75"/>
        <v>0</v>
      </c>
      <c r="L287" s="71">
        <f t="shared" si="75"/>
        <v>0</v>
      </c>
      <c r="M287" s="67">
        <f t="shared" si="76"/>
        <v>0</v>
      </c>
    </row>
    <row r="288" spans="1:13" x14ac:dyDescent="0.25">
      <c r="A288" s="1" t="s">
        <v>661</v>
      </c>
      <c r="C288" s="65"/>
      <c r="D288">
        <f t="shared" si="75"/>
        <v>0</v>
      </c>
      <c r="E288">
        <f t="shared" si="75"/>
        <v>0</v>
      </c>
      <c r="F288">
        <f t="shared" si="75"/>
        <v>0</v>
      </c>
      <c r="G288">
        <f t="shared" si="75"/>
        <v>0</v>
      </c>
      <c r="H288">
        <f t="shared" si="75"/>
        <v>0</v>
      </c>
      <c r="I288">
        <f t="shared" si="75"/>
        <v>0</v>
      </c>
      <c r="J288">
        <f t="shared" si="75"/>
        <v>0</v>
      </c>
      <c r="K288">
        <f t="shared" si="75"/>
        <v>0</v>
      </c>
      <c r="L288" s="65">
        <f t="shared" si="75"/>
        <v>0</v>
      </c>
      <c r="M288">
        <f t="shared" si="76"/>
        <v>0</v>
      </c>
    </row>
    <row r="289" spans="1:13" x14ac:dyDescent="0.25">
      <c r="A289" s="2" t="s">
        <v>671</v>
      </c>
      <c r="B289" s="67"/>
      <c r="C289" s="71"/>
      <c r="D289" s="67">
        <f t="shared" si="75"/>
        <v>0</v>
      </c>
      <c r="E289" s="67">
        <f t="shared" si="75"/>
        <v>0</v>
      </c>
      <c r="F289" s="67">
        <f t="shared" si="75"/>
        <v>0</v>
      </c>
      <c r="G289" s="67">
        <f t="shared" si="75"/>
        <v>0</v>
      </c>
      <c r="H289" s="67">
        <f t="shared" si="75"/>
        <v>0</v>
      </c>
      <c r="I289" s="67">
        <f t="shared" si="75"/>
        <v>0</v>
      </c>
      <c r="J289" s="67">
        <f t="shared" si="75"/>
        <v>0</v>
      </c>
      <c r="K289" s="67">
        <f t="shared" si="75"/>
        <v>0</v>
      </c>
      <c r="L289" s="71">
        <f t="shared" si="75"/>
        <v>0</v>
      </c>
      <c r="M289" s="67">
        <f t="shared" si="76"/>
        <v>0</v>
      </c>
    </row>
    <row r="290" spans="1:13" x14ac:dyDescent="0.25">
      <c r="A290" s="1" t="s">
        <v>675</v>
      </c>
      <c r="C290" s="65"/>
      <c r="D290">
        <f t="shared" si="75"/>
        <v>0</v>
      </c>
      <c r="E290">
        <f t="shared" si="75"/>
        <v>0</v>
      </c>
      <c r="F290">
        <f t="shared" si="75"/>
        <v>0</v>
      </c>
      <c r="G290">
        <f t="shared" si="75"/>
        <v>0</v>
      </c>
      <c r="H290">
        <f t="shared" si="75"/>
        <v>0</v>
      </c>
      <c r="I290">
        <f t="shared" si="75"/>
        <v>0</v>
      </c>
      <c r="J290">
        <f t="shared" si="75"/>
        <v>0</v>
      </c>
      <c r="K290">
        <f t="shared" si="75"/>
        <v>0</v>
      </c>
      <c r="L290" s="65">
        <f t="shared" si="75"/>
        <v>0</v>
      </c>
      <c r="M290">
        <f t="shared" si="76"/>
        <v>0</v>
      </c>
    </row>
    <row r="291" spans="1:13" x14ac:dyDescent="0.25">
      <c r="A291" s="2" t="s">
        <v>676</v>
      </c>
      <c r="B291" s="67"/>
      <c r="C291" s="71"/>
      <c r="D291" s="67">
        <f t="shared" si="75"/>
        <v>0</v>
      </c>
      <c r="E291" s="67">
        <f t="shared" si="75"/>
        <v>0</v>
      </c>
      <c r="F291" s="67">
        <f t="shared" si="75"/>
        <v>0</v>
      </c>
      <c r="G291" s="67">
        <f t="shared" si="75"/>
        <v>0</v>
      </c>
      <c r="H291" s="67">
        <f t="shared" si="75"/>
        <v>0</v>
      </c>
      <c r="I291" s="67">
        <f t="shared" si="75"/>
        <v>0</v>
      </c>
      <c r="J291" s="67">
        <f t="shared" si="75"/>
        <v>0</v>
      </c>
      <c r="K291" s="67">
        <f t="shared" si="75"/>
        <v>0</v>
      </c>
      <c r="L291" s="71">
        <f t="shared" si="75"/>
        <v>0</v>
      </c>
      <c r="M291" s="67">
        <f t="shared" si="76"/>
        <v>0</v>
      </c>
    </row>
    <row r="292" spans="1:13" x14ac:dyDescent="0.25">
      <c r="A292" s="1" t="s">
        <v>690</v>
      </c>
      <c r="C292" s="65"/>
      <c r="D292">
        <f t="shared" si="75"/>
        <v>0</v>
      </c>
      <c r="E292">
        <f t="shared" si="75"/>
        <v>0</v>
      </c>
      <c r="F292">
        <f t="shared" si="75"/>
        <v>0</v>
      </c>
      <c r="G292">
        <f t="shared" si="75"/>
        <v>0</v>
      </c>
      <c r="H292">
        <f t="shared" si="75"/>
        <v>0</v>
      </c>
      <c r="I292">
        <f t="shared" si="75"/>
        <v>0</v>
      </c>
      <c r="J292">
        <f t="shared" si="75"/>
        <v>0</v>
      </c>
      <c r="K292">
        <f t="shared" si="75"/>
        <v>0</v>
      </c>
      <c r="L292" s="65">
        <f t="shared" si="75"/>
        <v>0</v>
      </c>
      <c r="M292">
        <f t="shared" si="76"/>
        <v>0</v>
      </c>
    </row>
    <row r="293" spans="1:13" x14ac:dyDescent="0.25">
      <c r="A293" s="2" t="s">
        <v>677</v>
      </c>
      <c r="B293" s="67"/>
      <c r="C293" s="71"/>
      <c r="D293" s="67">
        <f t="shared" si="75"/>
        <v>0</v>
      </c>
      <c r="E293" s="67">
        <f t="shared" si="75"/>
        <v>0</v>
      </c>
      <c r="F293" s="67">
        <f t="shared" si="75"/>
        <v>0</v>
      </c>
      <c r="G293" s="67">
        <f t="shared" si="75"/>
        <v>0</v>
      </c>
      <c r="H293" s="67">
        <f t="shared" si="75"/>
        <v>0</v>
      </c>
      <c r="I293" s="67">
        <f t="shared" si="75"/>
        <v>0</v>
      </c>
      <c r="J293" s="67">
        <f t="shared" si="75"/>
        <v>0</v>
      </c>
      <c r="K293" s="67">
        <f t="shared" si="75"/>
        <v>0</v>
      </c>
      <c r="L293" s="71">
        <f t="shared" si="75"/>
        <v>0</v>
      </c>
      <c r="M293" s="67">
        <f t="shared" si="76"/>
        <v>0</v>
      </c>
    </row>
    <row r="294" spans="1:13" x14ac:dyDescent="0.25">
      <c r="A294" s="1" t="s">
        <v>691</v>
      </c>
      <c r="C294" s="65"/>
      <c r="D294">
        <f t="shared" si="75"/>
        <v>0</v>
      </c>
      <c r="E294">
        <f t="shared" si="75"/>
        <v>0</v>
      </c>
      <c r="F294">
        <f t="shared" si="75"/>
        <v>0</v>
      </c>
      <c r="G294">
        <f t="shared" si="75"/>
        <v>0</v>
      </c>
      <c r="H294">
        <f t="shared" si="75"/>
        <v>0</v>
      </c>
      <c r="I294">
        <f t="shared" si="75"/>
        <v>0</v>
      </c>
      <c r="J294">
        <f t="shared" si="75"/>
        <v>0</v>
      </c>
      <c r="K294">
        <f t="shared" si="75"/>
        <v>0</v>
      </c>
      <c r="L294" s="65">
        <f t="shared" si="75"/>
        <v>0</v>
      </c>
      <c r="M294">
        <f t="shared" si="76"/>
        <v>0</v>
      </c>
    </row>
    <row r="295" spans="1:13" x14ac:dyDescent="0.25">
      <c r="A295" s="2" t="s">
        <v>678</v>
      </c>
      <c r="B295" s="67"/>
      <c r="C295" s="71"/>
      <c r="D295" s="67">
        <f t="shared" si="75"/>
        <v>0</v>
      </c>
      <c r="E295" s="67">
        <f t="shared" si="75"/>
        <v>0</v>
      </c>
      <c r="F295" s="67">
        <f t="shared" si="75"/>
        <v>0</v>
      </c>
      <c r="G295" s="67">
        <f t="shared" si="75"/>
        <v>0</v>
      </c>
      <c r="H295" s="67">
        <f t="shared" si="75"/>
        <v>0</v>
      </c>
      <c r="I295" s="67">
        <f t="shared" si="75"/>
        <v>0</v>
      </c>
      <c r="J295" s="67">
        <f t="shared" si="75"/>
        <v>0</v>
      </c>
      <c r="K295" s="67">
        <f t="shared" si="75"/>
        <v>0</v>
      </c>
      <c r="L295" s="71">
        <f t="shared" si="75"/>
        <v>0</v>
      </c>
      <c r="M295" s="67">
        <f t="shared" si="76"/>
        <v>0</v>
      </c>
    </row>
    <row r="296" spans="1:13" x14ac:dyDescent="0.25">
      <c r="A296" s="1" t="s">
        <v>679</v>
      </c>
      <c r="C296" s="65"/>
      <c r="D296">
        <f t="shared" si="75"/>
        <v>0</v>
      </c>
      <c r="E296">
        <f t="shared" si="75"/>
        <v>0</v>
      </c>
      <c r="F296">
        <f t="shared" si="75"/>
        <v>0</v>
      </c>
      <c r="G296">
        <f t="shared" si="75"/>
        <v>0</v>
      </c>
      <c r="H296">
        <f t="shared" si="75"/>
        <v>0</v>
      </c>
      <c r="I296">
        <f t="shared" si="75"/>
        <v>0</v>
      </c>
      <c r="J296">
        <f t="shared" si="75"/>
        <v>0</v>
      </c>
      <c r="K296">
        <f t="shared" si="75"/>
        <v>0</v>
      </c>
      <c r="L296" s="65">
        <f t="shared" si="75"/>
        <v>0</v>
      </c>
      <c r="M296">
        <f t="shared" si="76"/>
        <v>0</v>
      </c>
    </row>
    <row r="297" spans="1:13" x14ac:dyDescent="0.25">
      <c r="A297" s="28" t="s">
        <v>697</v>
      </c>
      <c r="B297" s="78"/>
      <c r="C297" s="79"/>
      <c r="D297" s="78">
        <f>SUM(D281:D296)</f>
        <v>0</v>
      </c>
      <c r="E297" s="78">
        <f t="shared" ref="E297:L297" si="77">SUM(E281:E296)</f>
        <v>0</v>
      </c>
      <c r="F297" s="78">
        <f t="shared" si="77"/>
        <v>0</v>
      </c>
      <c r="G297" s="78">
        <f t="shared" si="77"/>
        <v>0</v>
      </c>
      <c r="H297" s="78">
        <f t="shared" si="77"/>
        <v>0</v>
      </c>
      <c r="I297" s="78">
        <f t="shared" si="77"/>
        <v>0</v>
      </c>
      <c r="J297" s="78">
        <f t="shared" si="77"/>
        <v>0</v>
      </c>
      <c r="K297" s="78">
        <f t="shared" si="77"/>
        <v>0</v>
      </c>
      <c r="L297" s="79">
        <f t="shared" si="77"/>
        <v>0</v>
      </c>
      <c r="M297" s="82">
        <f t="shared" si="76"/>
        <v>0</v>
      </c>
    </row>
    <row r="299" spans="1:13" x14ac:dyDescent="0.25">
      <c r="A299" s="175" t="s">
        <v>700</v>
      </c>
      <c r="B299" s="175"/>
      <c r="C299" s="176"/>
      <c r="L299" s="65"/>
    </row>
    <row r="300" spans="1:13" x14ac:dyDescent="0.25">
      <c r="A300" s="28" t="s">
        <v>751</v>
      </c>
      <c r="B300" s="78"/>
      <c r="C300" s="79"/>
      <c r="D300" s="78">
        <f t="shared" ref="D300:L306" si="78">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78">
        <f t="shared" si="78"/>
        <v>0</v>
      </c>
      <c r="F300" s="78">
        <f t="shared" si="78"/>
        <v>0</v>
      </c>
      <c r="G300" s="78">
        <f t="shared" si="78"/>
        <v>0</v>
      </c>
      <c r="H300" s="78">
        <f t="shared" si="78"/>
        <v>0</v>
      </c>
      <c r="I300" s="78">
        <f t="shared" si="78"/>
        <v>0</v>
      </c>
      <c r="J300" s="78">
        <f t="shared" si="78"/>
        <v>0</v>
      </c>
      <c r="K300" s="78">
        <f t="shared" si="78"/>
        <v>0</v>
      </c>
      <c r="L300" s="79">
        <f t="shared" si="78"/>
        <v>0</v>
      </c>
      <c r="M300" s="82">
        <f t="shared" ref="M300:M307" si="79">SUM(D300:L300)</f>
        <v>0</v>
      </c>
    </row>
    <row r="301" spans="1:13" x14ac:dyDescent="0.25">
      <c r="A301" s="1" t="s">
        <v>682</v>
      </c>
      <c r="C301" s="65"/>
      <c r="D301">
        <f t="shared" si="78"/>
        <v>0</v>
      </c>
      <c r="E301">
        <f t="shared" si="78"/>
        <v>0</v>
      </c>
      <c r="F301">
        <f t="shared" si="78"/>
        <v>0</v>
      </c>
      <c r="G301">
        <f t="shared" si="78"/>
        <v>0</v>
      </c>
      <c r="H301">
        <f t="shared" si="78"/>
        <v>0</v>
      </c>
      <c r="I301">
        <f t="shared" si="78"/>
        <v>0</v>
      </c>
      <c r="J301">
        <f t="shared" si="78"/>
        <v>0</v>
      </c>
      <c r="K301">
        <f t="shared" si="78"/>
        <v>0</v>
      </c>
      <c r="L301" s="65">
        <f t="shared" si="78"/>
        <v>0</v>
      </c>
      <c r="M301">
        <f t="shared" si="79"/>
        <v>0</v>
      </c>
    </row>
    <row r="302" spans="1:13" x14ac:dyDescent="0.25">
      <c r="A302" s="2" t="s">
        <v>683</v>
      </c>
      <c r="B302" s="67"/>
      <c r="C302" s="71"/>
      <c r="D302" s="67">
        <f t="shared" si="78"/>
        <v>0</v>
      </c>
      <c r="E302" s="67">
        <f t="shared" si="78"/>
        <v>0</v>
      </c>
      <c r="F302" s="67">
        <f t="shared" si="78"/>
        <v>0</v>
      </c>
      <c r="G302" s="67">
        <f t="shared" si="78"/>
        <v>0</v>
      </c>
      <c r="H302" s="67">
        <f t="shared" si="78"/>
        <v>0</v>
      </c>
      <c r="I302" s="67">
        <f t="shared" si="78"/>
        <v>0</v>
      </c>
      <c r="J302" s="67">
        <f t="shared" si="78"/>
        <v>0</v>
      </c>
      <c r="K302" s="67">
        <f t="shared" si="78"/>
        <v>0</v>
      </c>
      <c r="L302" s="71">
        <f t="shared" si="78"/>
        <v>0</v>
      </c>
      <c r="M302" s="67">
        <f t="shared" si="79"/>
        <v>0</v>
      </c>
    </row>
    <row r="303" spans="1:13" x14ac:dyDescent="0.25">
      <c r="A303" s="1" t="s">
        <v>684</v>
      </c>
      <c r="C303" s="65"/>
      <c r="D303">
        <f t="shared" si="78"/>
        <v>0</v>
      </c>
      <c r="E303">
        <f t="shared" si="78"/>
        <v>0</v>
      </c>
      <c r="F303">
        <f t="shared" si="78"/>
        <v>0</v>
      </c>
      <c r="G303">
        <f t="shared" si="78"/>
        <v>0</v>
      </c>
      <c r="H303">
        <f t="shared" si="78"/>
        <v>0</v>
      </c>
      <c r="I303">
        <f t="shared" si="78"/>
        <v>0</v>
      </c>
      <c r="J303">
        <f t="shared" si="78"/>
        <v>0</v>
      </c>
      <c r="K303">
        <f t="shared" si="78"/>
        <v>0</v>
      </c>
      <c r="L303" s="65">
        <f t="shared" si="78"/>
        <v>0</v>
      </c>
      <c r="M303">
        <f t="shared" si="79"/>
        <v>0</v>
      </c>
    </row>
    <row r="304" spans="1:13" x14ac:dyDescent="0.25">
      <c r="A304" s="2" t="s">
        <v>648</v>
      </c>
      <c r="B304" s="67"/>
      <c r="C304" s="71"/>
      <c r="D304" s="67">
        <f t="shared" si="78"/>
        <v>0</v>
      </c>
      <c r="E304" s="67">
        <f t="shared" si="78"/>
        <v>0</v>
      </c>
      <c r="F304" s="67">
        <f t="shared" si="78"/>
        <v>0</v>
      </c>
      <c r="G304" s="67">
        <f t="shared" si="78"/>
        <v>0</v>
      </c>
      <c r="H304" s="67">
        <f t="shared" si="78"/>
        <v>0</v>
      </c>
      <c r="I304" s="67">
        <f t="shared" si="78"/>
        <v>0</v>
      </c>
      <c r="J304" s="67">
        <f t="shared" si="78"/>
        <v>0</v>
      </c>
      <c r="K304" s="67">
        <f t="shared" si="78"/>
        <v>0</v>
      </c>
      <c r="L304" s="71">
        <f t="shared" si="78"/>
        <v>0</v>
      </c>
      <c r="M304" s="67">
        <f t="shared" si="79"/>
        <v>0</v>
      </c>
    </row>
    <row r="305" spans="1:13" x14ac:dyDescent="0.25">
      <c r="A305" s="1" t="s">
        <v>685</v>
      </c>
      <c r="C305" s="65"/>
      <c r="D305">
        <f t="shared" si="78"/>
        <v>0</v>
      </c>
      <c r="E305">
        <f t="shared" si="78"/>
        <v>0</v>
      </c>
      <c r="F305">
        <f t="shared" si="78"/>
        <v>0</v>
      </c>
      <c r="G305">
        <f t="shared" si="78"/>
        <v>0</v>
      </c>
      <c r="H305">
        <f t="shared" si="78"/>
        <v>0</v>
      </c>
      <c r="I305">
        <f t="shared" si="78"/>
        <v>0</v>
      </c>
      <c r="J305">
        <f t="shared" si="78"/>
        <v>0</v>
      </c>
      <c r="K305">
        <f t="shared" si="78"/>
        <v>0</v>
      </c>
      <c r="L305" s="65">
        <f t="shared" si="78"/>
        <v>0</v>
      </c>
      <c r="M305">
        <f t="shared" si="79"/>
        <v>0</v>
      </c>
    </row>
    <row r="306" spans="1:13" x14ac:dyDescent="0.25">
      <c r="A306" s="2" t="s">
        <v>686</v>
      </c>
      <c r="B306" s="67"/>
      <c r="C306" s="71"/>
      <c r="D306" s="67">
        <f t="shared" si="78"/>
        <v>0</v>
      </c>
      <c r="E306" s="67">
        <f t="shared" si="78"/>
        <v>0</v>
      </c>
      <c r="F306" s="67">
        <f t="shared" si="78"/>
        <v>0</v>
      </c>
      <c r="G306" s="67">
        <f t="shared" si="78"/>
        <v>0</v>
      </c>
      <c r="H306" s="67">
        <f t="shared" si="78"/>
        <v>0</v>
      </c>
      <c r="I306" s="67">
        <f t="shared" si="78"/>
        <v>0</v>
      </c>
      <c r="J306" s="67">
        <f t="shared" si="78"/>
        <v>0</v>
      </c>
      <c r="K306" s="67">
        <f t="shared" si="78"/>
        <v>0</v>
      </c>
      <c r="L306" s="71">
        <f t="shared" si="78"/>
        <v>0</v>
      </c>
      <c r="M306" s="67">
        <f t="shared" si="79"/>
        <v>0</v>
      </c>
    </row>
    <row r="307" spans="1:13" x14ac:dyDescent="0.25">
      <c r="A307" s="72" t="s">
        <v>698</v>
      </c>
      <c r="B307" s="73"/>
      <c r="C307" s="74"/>
      <c r="D307" s="73">
        <f>SUM(D300:D306)</f>
        <v>0</v>
      </c>
      <c r="E307" s="73">
        <f t="shared" ref="E307:L307" si="80">SUM(E300:E306)</f>
        <v>0</v>
      </c>
      <c r="F307" s="73">
        <f t="shared" si="80"/>
        <v>0</v>
      </c>
      <c r="G307" s="73">
        <f t="shared" si="80"/>
        <v>0</v>
      </c>
      <c r="H307" s="73">
        <f t="shared" si="80"/>
        <v>0</v>
      </c>
      <c r="I307" s="73">
        <f t="shared" si="80"/>
        <v>0</v>
      </c>
      <c r="J307" s="73">
        <f t="shared" si="80"/>
        <v>0</v>
      </c>
      <c r="K307" s="73">
        <f t="shared" si="80"/>
        <v>0</v>
      </c>
      <c r="L307" s="74">
        <f t="shared" si="80"/>
        <v>0</v>
      </c>
      <c r="M307" s="81">
        <f t="shared" si="79"/>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70:Q70"/>
    <mergeCell ref="B71:D71"/>
    <mergeCell ref="E71:G71"/>
    <mergeCell ref="H71:K71"/>
    <mergeCell ref="L71:O71"/>
    <mergeCell ref="M34:P44"/>
    <mergeCell ref="I35:J36"/>
    <mergeCell ref="K35:K36"/>
    <mergeCell ref="I37:J37"/>
    <mergeCell ref="I38:J38"/>
    <mergeCell ref="I41:J41"/>
    <mergeCell ref="I42:J43"/>
    <mergeCell ref="K42:K43"/>
    <mergeCell ref="A86:Q87"/>
    <mergeCell ref="M48:Q48"/>
    <mergeCell ref="K49:L49"/>
    <mergeCell ref="A52:Q53"/>
    <mergeCell ref="A54:J54"/>
    <mergeCell ref="B55:J55"/>
    <mergeCell ref="B56:D56"/>
    <mergeCell ref="E56:G56"/>
    <mergeCell ref="H56:J56"/>
    <mergeCell ref="N56:P66"/>
    <mergeCell ref="K48:L48"/>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William Hamilton</cp:lastModifiedBy>
  <cp:lastPrinted>2022-01-04T15:32:56Z</cp:lastPrinted>
  <dcterms:created xsi:type="dcterms:W3CDTF">2020-04-02T16:56:18Z</dcterms:created>
  <dcterms:modified xsi:type="dcterms:W3CDTF">2024-01-18T14:44:10Z</dcterms:modified>
</cp:coreProperties>
</file>